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Equity QTR-3" sheetId="6" r:id="rId6"/>
    <sheet name="(9)Equity YTD4" sheetId="7" state="hidden" r:id="rId7"/>
    <sheet name="Earned Incurred QTD-4" sheetId="8" r:id="rId8"/>
    <sheet name="(8)Earned Incurred YTD6" sheetId="9" state="hidden" r:id="rId9"/>
    <sheet name="Premiums QTD-5" sheetId="10" r:id="rId10"/>
    <sheet name="(7)Premiums YTD8" sheetId="11" state="hidden" r:id="rId11"/>
    <sheet name="Losses Incurred QTR-6" sheetId="12" r:id="rId12"/>
    <sheet name="Loss Expenses QTR-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10">'(7)Premiums YTD8'!$A$1:$H$39</definedName>
    <definedName name="_xlnm.Print_Area" localSheetId="8">'(8)Earned Incurred YTD6'!$A$1:$D$54</definedName>
    <definedName name="_xlnm.Print_Area" localSheetId="6">'(9)Equity YTD4'!$A$1:$G$62</definedName>
    <definedName name="_xlnm.Print_Area" localSheetId="3">'Balance Sheet-1'!$A$1:$E$47</definedName>
    <definedName name="_xlnm.Print_Area" localSheetId="7">'Earned Incurred QTD-4'!$A$1:$E$55</definedName>
    <definedName name="_xlnm.Print_Area" localSheetId="5">'Equity QTR-3'!$A$1:$G$63</definedName>
    <definedName name="_xlnm.Print_Area" localSheetId="2">'EXPENSES (p11)'!$A$1:$T$76</definedName>
    <definedName name="_xlnm.Print_Area" localSheetId="16">'IBNR JE2'!$A$1:$E$25</definedName>
    <definedName name="_xlnm.Print_Area" localSheetId="4">'Income Statement-2'!$A$1:$G$36</definedName>
    <definedName name="_xlnm.Print_Area" localSheetId="12">'Loss Expenses QTR-7'!$A$1:$G$30</definedName>
    <definedName name="_xlnm.Print_Area" localSheetId="11">'Losses Incurred QTR-6'!$A$1:$G$40</definedName>
    <definedName name="_xlnm.Print_Area" localSheetId="9">'Premiums QTD-5'!$A$1:$G$46</definedName>
  </definedNames>
  <calcPr fullCalcOnLoad="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<sst xmlns="http://schemas.openxmlformats.org/spreadsheetml/2006/main" count="933" uniqueCount="485">
  <si>
    <t>51300-01-00-2002</t>
  </si>
  <si>
    <t>51300-02-00-2002</t>
  </si>
  <si>
    <t>4Q03</t>
  </si>
  <si>
    <t>4Q02</t>
  </si>
  <si>
    <t>CURRENT LOSS RESERVE (12-31-03)</t>
  </si>
  <si>
    <t>Q-T-D Period Ended December 31, 2003</t>
  </si>
  <si>
    <t>CURRENT LOSS EXPENSE RESERVE @ 12-31-03</t>
  </si>
  <si>
    <t>Description</t>
  </si>
  <si>
    <t>AT MARCH 31, 2004</t>
  </si>
  <si>
    <t>YTD PERIOD MARCH 31st, 2004</t>
  </si>
  <si>
    <t>3-31-04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</si>
  <si>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</si>
  <si>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</si>
  <si>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</si>
  <si>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</si>
  <si>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</si>
  <si>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</si>
  <si>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</si>
  <si>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</si>
  <si>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</si>
  <si>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</si>
  <si>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</si>
  <si>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</si>
  <si>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</si>
  <si>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</si>
  <si>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</si>
  <si>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</si>
  <si>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</si>
  <si>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</si>
  <si>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</si>
  <si>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</si>
  <si>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</si>
  <si>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</si>
  <si>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</si>
  <si>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</si>
  <si>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</si>
  <si>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</si>
  <si>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</si>
  <si>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</si>
  <si>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</si>
  <si>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</si>
  <si>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</si>
  <si>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</si>
  <si>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</si>
  <si>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</si>
  <si>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</si>
  <si>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</si>
  <si>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</si>
  <si>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</si>
  <si>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</si>
  <si>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</si>
  <si>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</si>
  <si>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</si>
  <si>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</si>
  <si>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</si>
  <si>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</si>
  <si>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</si>
  <si>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</si>
  <si>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</si>
  <si>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</si>
  <si>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</si>
  <si>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</si>
  <si>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</si>
  <si>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</si>
  <si>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</si>
  <si>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</si>
  <si>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</si>
  <si>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</si>
  <si>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</si>
  <si>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</si>
  <si>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</si>
  <si>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</si>
  <si>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</si>
  <si>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</si>
  <si>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</si>
  <si>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</si>
  <si>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1Q04</t>
  </si>
  <si>
    <t xml:space="preserve">      RETURN PREMIUMS</t>
  </si>
  <si>
    <t xml:space="preserve">      CLAIM CHECKS PAYABLE</t>
  </si>
  <si>
    <t xml:space="preserve">     NET EQUITY AT MARCH 31,  2004</t>
  </si>
  <si>
    <t>NET EQUITY AT MARCH 31,  2004</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</si>
  <si>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</si>
  <si>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</si>
  <si>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</si>
  <si>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</si>
  <si>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</si>
  <si>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</si>
  <si>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</si>
  <si>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</si>
  <si>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</si>
  <si>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</si>
  <si>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</si>
  <si>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</si>
  <si>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</si>
  <si>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</si>
  <si>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</si>
  <si>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</si>
  <si>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</si>
  <si>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</si>
  <si>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</si>
  <si>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</si>
  <si>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</si>
  <si>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</si>
  <si>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</si>
  <si>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</si>
  <si>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</si>
  <si>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</si>
  <si>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</si>
  <si>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</si>
  <si>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</si>
  <si>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</si>
  <si>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</si>
  <si>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</si>
  <si>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</si>
  <si>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</si>
  <si>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</si>
  <si>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</si>
  <si>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</si>
  <si>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</si>
  <si>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</si>
  <si>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</si>
  <si>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</si>
  <si>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</si>
  <si>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</si>
  <si>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</si>
  <si>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</si>
  <si>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</si>
  <si>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</si>
  <si>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</si>
  <si>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</si>
  <si>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</si>
  <si>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</si>
  <si>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</si>
  <si>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</si>
  <si>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</si>
  <si>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</si>
  <si>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</si>
  <si>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</si>
  <si>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PREPAID EXPENSES</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</si>
  <si>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</si>
  <si>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</si>
  <si>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</si>
  <si>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</si>
  <si>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</si>
  <si>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</si>
  <si>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</si>
  <si>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</si>
  <si>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</si>
  <si>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</si>
  <si>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</si>
  <si>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</si>
  <si>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</si>
  <si>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</si>
  <si>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</si>
  <si>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</si>
  <si>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</si>
  <si>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</si>
  <si>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</si>
  <si>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</si>
  <si>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</si>
  <si>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</si>
  <si>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</si>
  <si>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</si>
  <si>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</si>
  <si>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</si>
  <si>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</si>
  <si>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</si>
  <si>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</si>
  <si>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</si>
  <si>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</si>
  <si>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</si>
  <si>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</si>
  <si>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</si>
  <si>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</si>
  <si>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</si>
  <si>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</si>
  <si>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</si>
  <si>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</si>
  <si>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</si>
  <si>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</si>
  <si>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</si>
  <si>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</si>
  <si>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</si>
  <si>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</si>
  <si>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</si>
  <si>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</si>
  <si>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</si>
  <si>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</si>
  <si>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</si>
  <si>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</si>
  <si>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 xml:space="preserve">     EMPLOYER'S PENSION OBLIGATION</t>
  </si>
  <si>
    <t>Pg 8/13 &amp; PA2000S</t>
  </si>
  <si>
    <t>LOSS EXPENSE PAID BY QUARTER</t>
  </si>
  <si>
    <t>G/L #</t>
  </si>
  <si>
    <t>IBNR</t>
  </si>
  <si>
    <t>(Claim Dept. #50)</t>
  </si>
  <si>
    <t>Paula Hicks - Senior Accounting</t>
  </si>
  <si>
    <t>POLICY YEAR 2004</t>
  </si>
  <si>
    <t>PRIOR LOSS RESERVES (12-31-03)</t>
  </si>
  <si>
    <t>PRIOR UNEARNED PREMIUM RESERVE @ 12-31-03</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</si>
  <si>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</si>
  <si>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</si>
  <si>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</si>
  <si>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</si>
  <si>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</si>
  <si>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</si>
  <si>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</si>
  <si>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</si>
  <si>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</si>
  <si>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</si>
  <si>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</si>
  <si>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 xml:space="preserve">     PENSION OBLIGATIONS--SSAP #89</t>
  </si>
  <si>
    <t>3Q03</t>
  </si>
  <si>
    <t>BALANCE SHEET</t>
  </si>
  <si>
    <t>LEDGER ASSETS</t>
  </si>
  <si>
    <t>NON-LEDGER ASSETS</t>
  </si>
  <si>
    <t>NON- ADMITTED ASSETS</t>
  </si>
  <si>
    <t>NET ADMITTED ASSETS</t>
  </si>
  <si>
    <t>POLICY YEAR 2000 &amp; PRIOR</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</si>
  <si>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</si>
  <si>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</si>
  <si>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</si>
  <si>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</si>
  <si>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</si>
  <si>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</si>
  <si>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</si>
  <si>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</si>
  <si>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</si>
  <si>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</si>
  <si>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</si>
  <si>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</si>
  <si>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</si>
  <si>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</si>
  <si>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</si>
  <si>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</si>
  <si>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</si>
  <si>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</si>
  <si>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</si>
  <si>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</si>
  <si>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</si>
  <si>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</si>
  <si>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</si>
  <si>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</si>
  <si>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</si>
  <si>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</si>
  <si>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</si>
  <si>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Note: As required under the Terrorism Risk Insurance Act of 2002, Direct Earned Premium for Commercial business written in the 1st. quarter is shown on page 8.</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</si>
  <si>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</si>
  <si>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</si>
  <si>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</si>
  <si>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</si>
  <si>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</si>
  <si>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</si>
  <si>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</si>
  <si>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</si>
  <si>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</si>
  <si>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</si>
  <si>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</si>
  <si>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</si>
  <si>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</si>
  <si>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</si>
  <si>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</si>
  <si>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</si>
  <si>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</si>
  <si>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</si>
  <si>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</si>
  <si>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</si>
  <si>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</si>
  <si>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</si>
  <si>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</si>
  <si>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</si>
  <si>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</si>
  <si>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</si>
  <si>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</si>
  <si>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</si>
  <si>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</si>
  <si>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</si>
  <si>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</si>
  <si>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</si>
  <si>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</si>
  <si>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</si>
  <si>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</si>
  <si>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</si>
  <si>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</si>
  <si>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</si>
  <si>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</si>
  <si>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</si>
  <si>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</si>
  <si>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</si>
  <si>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</si>
  <si>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</si>
  <si>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</si>
  <si>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</si>
  <si>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</si>
  <si>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</si>
  <si>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</si>
  <si>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</si>
  <si>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</si>
  <si>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</si>
  <si>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</si>
  <si>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</si>
  <si>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</si>
  <si>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</si>
  <si>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</si>
  <si>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</si>
  <si>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</si>
  <si>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</si>
  <si>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</si>
  <si>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</si>
  <si>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</si>
  <si>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</si>
  <si>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</si>
  <si>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</si>
  <si>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</si>
  <si>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</si>
  <si>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</si>
  <si>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</si>
  <si>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</si>
  <si>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</si>
  <si>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</si>
  <si>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</si>
  <si>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</si>
  <si>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</si>
  <si>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</si>
  <si>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</si>
  <si>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</si>
  <si>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</si>
  <si>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</si>
  <si>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</si>
  <si>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</si>
  <si>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</si>
  <si>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</si>
  <si>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</si>
  <si>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</si>
  <si>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</si>
  <si>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</si>
  <si>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</si>
  <si>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</si>
  <si>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</si>
  <si>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</si>
  <si>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</si>
  <si>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</si>
  <si>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</si>
  <si>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</si>
  <si>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</si>
  <si>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</si>
  <si>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</si>
  <si>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</si>
  <si>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</si>
  <si>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</si>
  <si>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</si>
  <si>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</si>
  <si>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</si>
  <si>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</si>
  <si>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</si>
  <si>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</si>
  <si>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</si>
  <si>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</si>
  <si>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</si>
  <si>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</si>
  <si>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</si>
  <si>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</si>
  <si>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</si>
  <si>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</si>
  <si>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</si>
  <si>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</si>
  <si>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</si>
  <si>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</si>
  <si>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</si>
  <si>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</si>
  <si>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</si>
  <si>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</si>
  <si>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</si>
  <si>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</si>
  <si>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</si>
  <si>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</si>
  <si>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</si>
  <si>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</si>
  <si>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</si>
  <si>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</si>
  <si>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</si>
  <si>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</si>
  <si>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</si>
  <si>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</si>
  <si>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</si>
  <si>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</si>
  <si>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</si>
  <si>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</si>
  <si>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</si>
  <si>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</si>
  <si>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PREPAID/(ACCRUED) PENSION COST</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</si>
  <si>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</si>
  <si>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</si>
  <si>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</si>
  <si>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</si>
  <si>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</si>
  <si>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</si>
  <si>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</si>
  <si>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</si>
  <si>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</si>
  <si>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</si>
  <si>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</si>
  <si>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</si>
  <si>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</si>
  <si>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</si>
  <si>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</si>
  <si>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</si>
  <si>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</si>
  <si>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</si>
  <si>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</si>
  <si>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</si>
  <si>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</si>
  <si>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</si>
  <si>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</si>
  <si>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</si>
  <si>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</si>
  <si>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</si>
  <si>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</si>
  <si>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</si>
  <si>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</si>
  <si>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</si>
  <si>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</si>
  <si>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</si>
  <si>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</si>
  <si>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</si>
  <si>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</si>
  <si>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</si>
  <si>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</si>
  <si>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</si>
  <si>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</si>
  <si>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</si>
  <si>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</si>
  <si>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</si>
  <si>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</si>
  <si>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</si>
  <si>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</si>
  <si>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</si>
  <si>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</si>
  <si>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</si>
  <si>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</si>
  <si>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</si>
  <si>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</si>
  <si>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</si>
  <si>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</si>
  <si>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</si>
  <si>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</si>
  <si>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QTD PERIOD ENDED MARCH 31, 2004</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</si>
  <si>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</si>
  <si>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</si>
  <si>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</si>
  <si>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</si>
  <si>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</si>
  <si>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</si>
  <si>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</si>
  <si>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</si>
  <si>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</si>
  <si>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</si>
  <si>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</si>
  <si>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</si>
  <si>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</si>
  <si>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</si>
  <si>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</si>
  <si>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</si>
  <si>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 xml:space="preserve">      SUNDRY RECEIVABLE</t>
  </si>
  <si>
    <t>Akleema Satar - Accountant</t>
  </si>
  <si>
    <t>BID:</t>
  </si>
  <si>
    <t>Explanation:</t>
  </si>
  <si>
    <t>QTR-ULEP</t>
  </si>
  <si>
    <t xml:space="preserve">3Q02 ULE Paid - QTD </t>
  </si>
  <si>
    <t>ULEP3Q02PH</t>
  </si>
  <si>
    <t>CURRENT UNEARNED PREMIUM RESERVE @ 3-31-04</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</si>
  <si>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</si>
  <si>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Commissions Expense Paid</t>
  </si>
  <si>
    <t>CURRENT I.B.N.R. RESERVES (3-31-04)</t>
  </si>
  <si>
    <t>Total TRIA</t>
  </si>
  <si>
    <r>
      <t xml:space="preserve">                                                 </t>
    </r>
    <r>
      <rPr>
        <b/>
        <sz val="10"/>
        <rFont val="Times New Roman"/>
        <family val="1"/>
      </rPr>
      <t>2Q03</t>
    </r>
    <r>
      <rPr>
        <sz val="10"/>
        <rFont val="Times New Roman"/>
        <family val="1"/>
      </rPr>
      <t xml:space="preserve">         487,924</t>
    </r>
  </si>
  <si>
    <r>
      <t xml:space="preserve">                                                 </t>
    </r>
    <r>
      <rPr>
        <b/>
        <sz val="10"/>
        <rFont val="Times New Roman"/>
        <family val="1"/>
      </rPr>
      <t>4Q03</t>
    </r>
    <r>
      <rPr>
        <sz val="10"/>
        <rFont val="Times New Roman"/>
        <family val="1"/>
      </rPr>
      <t xml:space="preserve">         508,338</t>
    </r>
  </si>
  <si>
    <t>(Including IBNR Reserves)</t>
  </si>
  <si>
    <t>*Note: Beginning January 1, 2004, the Association engaged the services of a consulting actuary to provide IBNR and loss adjustment expense reserves.</t>
  </si>
  <si>
    <t xml:space="preserve">         TOTAL DEDUCTIONS</t>
  </si>
  <si>
    <r>
      <t xml:space="preserve">                                                 </t>
    </r>
    <r>
      <rPr>
        <b/>
        <sz val="10"/>
        <rFont val="Times New Roman"/>
        <family val="1"/>
      </rPr>
      <t>3Q03</t>
    </r>
    <r>
      <rPr>
        <sz val="10"/>
        <rFont val="Times New Roman"/>
        <family val="1"/>
      </rPr>
      <t xml:space="preserve">         509,815</t>
    </r>
  </si>
  <si>
    <r>
      <t xml:space="preserve">                                                 </t>
    </r>
    <r>
      <rPr>
        <b/>
        <sz val="10"/>
        <rFont val="Times New Roman"/>
        <family val="1"/>
      </rPr>
      <t>1Q03</t>
    </r>
    <r>
      <rPr>
        <sz val="10"/>
        <rFont val="Times New Roman"/>
        <family val="1"/>
      </rPr>
      <t xml:space="preserve">         478,783</t>
    </r>
  </si>
  <si>
    <t>CURRENT CASE BASIS RESERVES (3-31-04)</t>
  </si>
  <si>
    <t>CURRENT LOSS EXPENSE RESERVES  @ 3-31-04</t>
  </si>
  <si>
    <t>PRIOR LOSS  EXPENSE RESERVES  @ 12-31-03</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</si>
</sst>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mm/dd/yy"/>
    <numFmt numFmtId="168" formatCode="&quot;$&quot;#,##0"/>
    <numFmt numFmtId="169" formatCode="#,##0.0000000000_);\(#,##0.0000000000\)"/>
    <numFmt numFmtId="170" formatCode="mmmm\ d\,\ yyyy"/>
    <numFmt numFmtId="171" formatCode="_(* #,##0.00_);_(* \(#,##0.00\);_(* &quot;-&quot;_);_(@_)"/>
    <numFmt numFmtId="172" formatCode="_(* #,##0.00000_);_(* \(#,##0.00000\);_(* &quot;-&quot;_);_(@_)"/>
    <numFmt numFmtId="173" formatCode="#,##0.000000000_);[Red]\(#,##0.000000000\)"/>
    <numFmt numFmtId="174" formatCode="0.0000%"/>
    <numFmt numFmtId="175" formatCode="#,##0.0_);[Red]\(#,##0.0\)"/>
    <numFmt numFmtId="176" formatCode="#,##0.0000000000000_);\(#,##0.0000000000000\)"/>
    <numFmt numFmtId="177" formatCode="mmmm\-yy"/>
    <numFmt numFmtId="178" formatCode="_(* #,##0.0000_);_(* \(#,##0.0000\);_(* &quot;-&quot;????_);_(@_)"/>
    <numFmt numFmtId="179" formatCode="_(* #,##0.000_);_(* \(#,##0.000\);_(* &quot;-&quot;_);_(@_)"/>
    <numFmt numFmtId="180" formatCode="_(* #,##0.0000_);_(* \(#,##0.0000\);_(* &quot;-&quot;_);_(@_)"/>
    <numFmt numFmtId="181" formatCode="yyyy"/>
    <numFmt numFmtId="182" formatCode="_(* #,##0.0_);_(* \(#,##0.0\);_(* &quot;-&quot;_);_(@_)"/>
    <numFmt numFmtId="183" formatCode="_(* #,##0.000_);_(* \(#,##0.000\);_(* &quot;-&quot;???_);_(@_)"/>
    <numFmt numFmtId="184" formatCode="0.0"/>
    <numFmt numFmtId="185" formatCode="&quot;$&quot;#,##0.0_);\(&quot;$&quot;#,##0.0\)"/>
    <numFmt numFmtId="186" formatCode="0.0%"/>
    <numFmt numFmtId="187" formatCode="0.000%"/>
    <numFmt numFmtId="188" formatCode="_(* #,##0.000_);_(* \(#,##0.000\);_(* &quot;-&quot;??_);_(@_)"/>
    <numFmt numFmtId="189" formatCode="_(* #,##0.0000_);_(* \(#,##0.0000\);_(* &quot;-&quot;??_);_(@_)"/>
    <numFmt numFmtId="190" formatCode="&quot;$&quot;#,##0.0"/>
    <numFmt numFmtId="191" formatCode="&quot;$&quot;#,##0.00"/>
    <numFmt numFmtId="192" formatCode="&quot;$&quot;#,##0.000_);\(&quot;$&quot;#,##0.000\)"/>
    <numFmt numFmtId="193" formatCode="_(&quot;$&quot;* #,##0.0_);_(&quot;$&quot;* \(#,##0.0\);_(&quot;$&quot;* &quot;-&quot;??_);_(@_)"/>
    <numFmt numFmtId="194" formatCode="#,##0.0_);\(#,##0.0\)"/>
    <numFmt numFmtId="195" formatCode="#,##0.000000000000_);\(#,##0.000000000000\)"/>
    <numFmt numFmtId="196" formatCode="0.00000%"/>
    <numFmt numFmtId="197" formatCode="#,##0.0"/>
    <numFmt numFmtId="198" formatCode="#,##0.000"/>
    <numFmt numFmtId="199" formatCode="0.00000000000000%"/>
    <numFmt numFmtId="200" formatCode="0.0000000000000%"/>
    <numFmt numFmtId="201" formatCode="0.000000000000%"/>
    <numFmt numFmtId="202" formatCode="0.00000000000%"/>
    <numFmt numFmtId="203" formatCode="#,##0.000000_);[Red]\(#,##0.000000\)"/>
    <numFmt numFmtId="204" formatCode="#,##0.00000_);[Red]\(#,##0.00000\)"/>
    <numFmt numFmtId="205" formatCode="#,##0.0000_);[Red]\(#,##0.0000\)"/>
    <numFmt numFmtId="206" formatCode="#,##0.000_);[Red]\(#,##0.000\)"/>
  </numFmts>
  <fonts count="67">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sz val="10"/>
      <color indexed="56"/>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cellStyleXfs>
  <cellXfs count="980">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0" fillId="0" borderId="0" xfId="0" applyFont="1" applyBorder="1" applyAlignment="1">
      <alignment horizontal="centerContinuous"/>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164" fontId="5" fillId="0" borderId="0" xfId="15" applyNumberFormat="1" applyFont="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9"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4"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71" fontId="5" fillId="0" borderId="0" xfId="0" applyNumberFormat="1" applyFont="1" applyBorder="1" applyAlignment="1">
      <alignment horizontal="right"/>
    </xf>
    <xf numFmtId="171" fontId="5" fillId="0" borderId="5" xfId="0" applyNumberFormat="1" applyFont="1" applyBorder="1" applyAlignment="1">
      <alignment horizontal="right"/>
    </xf>
    <xf numFmtId="171" fontId="5" fillId="0" borderId="0" xfId="0" applyNumberFormat="1" applyFont="1" applyAlignment="1">
      <alignment horizontal="right"/>
    </xf>
    <xf numFmtId="171" fontId="5" fillId="0" borderId="0" xfId="0" applyNumberFormat="1" applyFont="1" applyAlignment="1">
      <alignment horizontal="centerContinuous"/>
    </xf>
    <xf numFmtId="171" fontId="5" fillId="0" borderId="0" xfId="0" applyNumberFormat="1" applyFont="1" applyBorder="1" applyAlignment="1">
      <alignment/>
    </xf>
    <xf numFmtId="171" fontId="5" fillId="0" borderId="9" xfId="0" applyNumberFormat="1" applyFont="1" applyBorder="1" applyAlignment="1">
      <alignment/>
    </xf>
    <xf numFmtId="171" fontId="8" fillId="0" borderId="0" xfId="0" applyNumberFormat="1" applyFont="1" applyBorder="1" applyAlignment="1">
      <alignment/>
    </xf>
    <xf numFmtId="171" fontId="8" fillId="0" borderId="9" xfId="0" applyNumberFormat="1" applyFont="1" applyBorder="1" applyAlignment="1">
      <alignment/>
    </xf>
    <xf numFmtId="171" fontId="5" fillId="2" borderId="0" xfId="0" applyNumberFormat="1" applyFont="1" applyFill="1" applyBorder="1" applyAlignment="1">
      <alignment/>
    </xf>
    <xf numFmtId="171" fontId="8" fillId="2" borderId="9" xfId="0" applyNumberFormat="1" applyFont="1" applyFill="1" applyBorder="1" applyAlignment="1">
      <alignment/>
    </xf>
    <xf numFmtId="171" fontId="8" fillId="0" borderId="6" xfId="0" applyNumberFormat="1" applyFont="1" applyBorder="1" applyAlignment="1">
      <alignment/>
    </xf>
    <xf numFmtId="171" fontId="8" fillId="0" borderId="10" xfId="0" applyNumberFormat="1" applyFont="1" applyBorder="1" applyAlignment="1">
      <alignment/>
    </xf>
    <xf numFmtId="171" fontId="8" fillId="0" borderId="2" xfId="0" applyNumberFormat="1" applyFont="1" applyBorder="1" applyAlignment="1">
      <alignment/>
    </xf>
    <xf numFmtId="171" fontId="5" fillId="0" borderId="11" xfId="0" applyNumberFormat="1" applyFont="1" applyBorder="1" applyAlignment="1">
      <alignment/>
    </xf>
    <xf numFmtId="171" fontId="5" fillId="0" borderId="0" xfId="0" applyNumberFormat="1" applyFont="1" applyAlignment="1">
      <alignment/>
    </xf>
    <xf numFmtId="171"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71"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71" fontId="5" fillId="0" borderId="0" xfId="0" applyNumberFormat="1" applyFont="1" applyBorder="1" applyAlignment="1">
      <alignment horizontal="right" wrapText="1"/>
    </xf>
    <xf numFmtId="171" fontId="5" fillId="0" borderId="0" xfId="0" applyNumberFormat="1" applyFont="1" applyBorder="1" applyAlignment="1">
      <alignment horizontal="center" wrapText="1"/>
    </xf>
    <xf numFmtId="171" fontId="5" fillId="0" borderId="5" xfId="0" applyNumberFormat="1" applyFont="1" applyBorder="1" applyAlignment="1">
      <alignment horizontal="right" wrapText="1"/>
    </xf>
    <xf numFmtId="171" fontId="43" fillId="0" borderId="0" xfId="0" applyNumberFormat="1" applyFont="1" applyAlignment="1">
      <alignment horizontal="right" wrapText="1"/>
    </xf>
    <xf numFmtId="171" fontId="43" fillId="0" borderId="5" xfId="0" applyNumberFormat="1" applyFont="1" applyBorder="1" applyAlignment="1">
      <alignment horizontal="right" wrapText="1"/>
    </xf>
    <xf numFmtId="171" fontId="8" fillId="0" borderId="0" xfId="0" applyNumberFormat="1" applyFont="1" applyAlignment="1">
      <alignment horizontal="right" wrapText="1"/>
    </xf>
    <xf numFmtId="171"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5" fillId="0" borderId="0" xfId="15" applyFont="1" applyBorder="1" applyAlignment="1">
      <alignment/>
    </xf>
    <xf numFmtId="43" fontId="29" fillId="0" borderId="0" xfId="15" applyFont="1" applyBorder="1" applyAlignment="1">
      <alignment/>
    </xf>
    <xf numFmtId="43" fontId="46" fillId="0" borderId="0" xfId="15" applyFont="1" applyAlignment="1">
      <alignment/>
    </xf>
    <xf numFmtId="43" fontId="28" fillId="0" borderId="0" xfId="15" applyFont="1" applyAlignment="1">
      <alignment/>
    </xf>
    <xf numFmtId="43" fontId="43" fillId="0" borderId="0" xfId="15" applyFont="1" applyAlignment="1">
      <alignment/>
    </xf>
    <xf numFmtId="39" fontId="43"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71" fontId="24" fillId="2" borderId="0" xfId="0" applyNumberFormat="1" applyFont="1" applyFill="1" applyBorder="1" applyAlignment="1">
      <alignment/>
    </xf>
    <xf numFmtId="171" fontId="24" fillId="0" borderId="9" xfId="0" applyNumberFormat="1" applyFont="1" applyBorder="1" applyAlignment="1">
      <alignment/>
    </xf>
    <xf numFmtId="39" fontId="24" fillId="0" borderId="0" xfId="0" applyNumberFormat="1" applyFont="1" applyAlignment="1">
      <alignment/>
    </xf>
    <xf numFmtId="41" fontId="43"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8" fillId="0" borderId="0" xfId="0" applyFont="1" applyFill="1" applyBorder="1" applyAlignment="1">
      <alignment/>
    </xf>
    <xf numFmtId="38" fontId="47" fillId="0" borderId="0" xfId="0" applyNumberFormat="1" applyFont="1" applyFill="1" applyBorder="1" applyAlignment="1">
      <alignment horizontal="centerContinuous"/>
    </xf>
    <xf numFmtId="0" fontId="47"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9" fillId="0" borderId="0" xfId="0" applyFont="1" applyAlignment="1">
      <alignment/>
    </xf>
    <xf numFmtId="0" fontId="49" fillId="0" borderId="0" xfId="0" applyFont="1" applyBorder="1" applyAlignment="1">
      <alignment/>
    </xf>
    <xf numFmtId="0" fontId="47" fillId="0" borderId="0" xfId="0" applyFont="1" applyBorder="1" applyAlignment="1">
      <alignment horizontal="centerContinuous"/>
    </xf>
    <xf numFmtId="164" fontId="49" fillId="0" borderId="0" xfId="15" applyNumberFormat="1" applyFont="1" applyBorder="1" applyAlignment="1">
      <alignment/>
    </xf>
    <xf numFmtId="0" fontId="50" fillId="4" borderId="0" xfId="0" applyFont="1" applyFill="1" applyBorder="1" applyAlignment="1" applyProtection="1">
      <alignment horizontal="centerContinuous"/>
      <protection locked="0"/>
    </xf>
    <xf numFmtId="0" fontId="51" fillId="0" borderId="0" xfId="0" applyFont="1" applyBorder="1" applyAlignment="1">
      <alignment/>
    </xf>
    <xf numFmtId="0" fontId="48"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7" fontId="8" fillId="0" borderId="0" xfId="0" applyNumberFormat="1" applyFont="1" applyBorder="1" applyAlignment="1">
      <alignment/>
    </xf>
    <xf numFmtId="44" fontId="52" fillId="0" borderId="6" xfId="17" applyFont="1" applyBorder="1" applyAlignment="1">
      <alignment/>
    </xf>
    <xf numFmtId="171" fontId="27" fillId="0" borderId="0" xfId="0" applyNumberFormat="1" applyFont="1" applyBorder="1" applyAlignment="1">
      <alignment horizontal="right" wrapText="1"/>
    </xf>
    <xf numFmtId="171" fontId="27" fillId="0" borderId="0" xfId="0" applyNumberFormat="1" applyFont="1" applyBorder="1" applyAlignment="1">
      <alignment horizontal="center" wrapText="1"/>
    </xf>
    <xf numFmtId="171" fontId="27" fillId="0" borderId="5" xfId="0" applyNumberFormat="1" applyFont="1" applyBorder="1" applyAlignment="1">
      <alignment horizontal="right"/>
    </xf>
    <xf numFmtId="171" fontId="27" fillId="0" borderId="0" xfId="0" applyNumberFormat="1" applyFont="1" applyAlignment="1">
      <alignment horizontal="right"/>
    </xf>
    <xf numFmtId="171" fontId="22" fillId="0" borderId="0" xfId="0" applyNumberFormat="1" applyFont="1" applyFill="1" applyBorder="1" applyAlignment="1">
      <alignment horizontal="right"/>
    </xf>
    <xf numFmtId="171" fontId="22" fillId="0" borderId="5" xfId="0" applyNumberFormat="1" applyFont="1" applyFill="1" applyBorder="1" applyAlignment="1">
      <alignment horizontal="right"/>
    </xf>
    <xf numFmtId="171" fontId="22" fillId="0" borderId="0" xfId="0" applyNumberFormat="1" applyFont="1" applyAlignment="1">
      <alignment horizontal="right" wrapText="1"/>
    </xf>
    <xf numFmtId="171" fontId="21" fillId="0" borderId="0" xfId="0" applyNumberFormat="1" applyFont="1" applyAlignment="1">
      <alignment horizontal="right" wrapText="1"/>
    </xf>
    <xf numFmtId="171" fontId="43"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164" fontId="14" fillId="0" borderId="0" xfId="15" applyNumberFormat="1" applyFont="1" applyAlignment="1">
      <alignment/>
    </xf>
    <xf numFmtId="0" fontId="48" fillId="0" borderId="0" xfId="0" applyFont="1" applyBorder="1" applyAlignment="1">
      <alignment horizontal="right"/>
    </xf>
    <xf numFmtId="0" fontId="6" fillId="0" borderId="0" xfId="0" applyFont="1" applyBorder="1" applyAlignment="1">
      <alignment horizontal="right"/>
    </xf>
    <xf numFmtId="0" fontId="10" fillId="0" borderId="0" xfId="0" applyFont="1" applyBorder="1" applyAlignment="1">
      <alignment horizontal="right"/>
    </xf>
    <xf numFmtId="0" fontId="5" fillId="0" borderId="0" xfId="0" applyFont="1" applyBorder="1" applyAlignment="1">
      <alignment horizontal="right"/>
    </xf>
    <xf numFmtId="0" fontId="10" fillId="0" borderId="14" xfId="0" applyFont="1" applyBorder="1" applyAlignment="1">
      <alignment horizontal="right"/>
    </xf>
    <xf numFmtId="0" fontId="6" fillId="0" borderId="0" xfId="0" applyFont="1" applyBorder="1" applyAlignment="1">
      <alignment horizontal="left"/>
    </xf>
    <xf numFmtId="0" fontId="10" fillId="0" borderId="15" xfId="0" applyFont="1" applyBorder="1" applyAlignment="1">
      <alignment horizontal="left"/>
    </xf>
    <xf numFmtId="0" fontId="10" fillId="0" borderId="14"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2" fillId="0" borderId="0" xfId="15" applyFont="1" applyBorder="1" applyAlignment="1">
      <alignment/>
    </xf>
    <xf numFmtId="41" fontId="8" fillId="0" borderId="16" xfId="0" applyNumberFormat="1" applyFont="1" applyBorder="1" applyAlignment="1">
      <alignment/>
    </xf>
    <xf numFmtId="41" fontId="44" fillId="0" borderId="0" xfId="0" applyNumberFormat="1" applyFont="1" applyBorder="1" applyAlignment="1">
      <alignment/>
    </xf>
    <xf numFmtId="171" fontId="43"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3" fillId="0" borderId="0" xfId="0" applyNumberFormat="1" applyFont="1" applyAlignment="1">
      <alignment horizontal="centerContinuous" wrapText="1"/>
    </xf>
    <xf numFmtId="171" fontId="43" fillId="0" borderId="0" xfId="0" applyNumberFormat="1" applyFont="1" applyAlignment="1">
      <alignment horizontal="centerContinuous" wrapText="1"/>
    </xf>
    <xf numFmtId="38" fontId="26" fillId="0" borderId="0" xfId="0" applyNumberFormat="1" applyFont="1" applyAlignment="1">
      <alignment horizontal="right"/>
    </xf>
    <xf numFmtId="38" fontId="26" fillId="0" borderId="0" xfId="0" applyNumberFormat="1" applyFont="1" applyAlignment="1">
      <alignmen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38" fontId="31" fillId="0" borderId="0" xfId="0"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7"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50" fillId="4" borderId="0" xfId="15" applyNumberFormat="1" applyFont="1" applyFill="1" applyBorder="1" applyAlignment="1" applyProtection="1">
      <alignment horizontal="centerContinuous"/>
      <protection locked="0"/>
    </xf>
    <xf numFmtId="164" fontId="51"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7" fillId="0" borderId="0" xfId="15" applyNumberFormat="1" applyFont="1" applyBorder="1" applyAlignment="1">
      <alignment horizontal="centerContinuous"/>
    </xf>
    <xf numFmtId="164" fontId="49"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164" fontId="10" fillId="0" borderId="0" xfId="15" applyNumberFormat="1" applyFont="1" applyBorder="1" applyAlignment="1">
      <alignment horizontal="centerContinuous"/>
    </xf>
    <xf numFmtId="164" fontId="15" fillId="2" borderId="0" xfId="15" applyNumberFormat="1" applyFont="1" applyFill="1" applyBorder="1" applyAlignment="1">
      <alignment horizontal="centerContinuous" wrapText="1"/>
    </xf>
    <xf numFmtId="164" fontId="15" fillId="2" borderId="0" xfId="15" applyNumberFormat="1" applyFont="1" applyFill="1" applyBorder="1" applyAlignment="1">
      <alignment horizontal="center" wrapText="1"/>
    </xf>
    <xf numFmtId="164" fontId="14" fillId="0" borderId="0" xfId="15" applyNumberFormat="1" applyFont="1" applyBorder="1" applyAlignment="1">
      <alignment horizontal="left" wrapText="1"/>
    </xf>
    <xf numFmtId="164" fontId="30" fillId="0" borderId="0" xfId="15" applyNumberFormat="1" applyFont="1" applyBorder="1" applyAlignment="1">
      <alignment horizontal="right"/>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5" fontId="5" fillId="0" borderId="0" xfId="0" applyNumberFormat="1" applyFont="1" applyFill="1" applyBorder="1" applyAlignment="1">
      <alignment/>
    </xf>
    <xf numFmtId="38" fontId="55"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1" fillId="0" borderId="0" xfId="0" applyNumberFormat="1" applyFont="1" applyBorder="1" applyAlignment="1">
      <alignment/>
    </xf>
    <xf numFmtId="43" fontId="20" fillId="0" borderId="0" xfId="0" applyNumberFormat="1" applyFont="1" applyBorder="1" applyAlignment="1">
      <alignment/>
    </xf>
    <xf numFmtId="43" fontId="31" fillId="0" borderId="0" xfId="0" applyNumberFormat="1" applyFont="1" applyBorder="1" applyAlignment="1">
      <alignment/>
    </xf>
    <xf numFmtId="43" fontId="14" fillId="0" borderId="0" xfId="15" applyNumberFormat="1" applyFont="1" applyBorder="1" applyAlignment="1">
      <alignment/>
    </xf>
    <xf numFmtId="43" fontId="10" fillId="0" borderId="0" xfId="0" applyNumberFormat="1" applyFont="1" applyBorder="1" applyAlignment="1">
      <alignment horizontal="right"/>
    </xf>
    <xf numFmtId="164" fontId="14" fillId="0" borderId="0" xfId="0" applyNumberFormat="1" applyFont="1" applyBorder="1" applyAlignment="1">
      <alignment horizontal="righ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0" applyNumberFormat="1" applyFont="1" applyBorder="1" applyAlignment="1">
      <alignment horizontal="left"/>
    </xf>
    <xf numFmtId="7" fontId="14" fillId="0" borderId="0" xfId="15" applyNumberFormat="1" applyFont="1" applyBorder="1" applyAlignment="1">
      <alignment horizontal="left"/>
    </xf>
    <xf numFmtId="7" fontId="14" fillId="0" borderId="0" xfId="15" applyNumberFormat="1" applyFont="1" applyBorder="1" applyAlignment="1">
      <alignment/>
    </xf>
    <xf numFmtId="7" fontId="14" fillId="0" borderId="20" xfId="15" applyNumberFormat="1" applyFont="1" applyBorder="1" applyAlignment="1">
      <alignment/>
    </xf>
    <xf numFmtId="7" fontId="10" fillId="2" borderId="0" xfId="15" applyNumberFormat="1" applyFont="1" applyFill="1" applyBorder="1" applyAlignment="1">
      <alignment horizontal="centerContinuous"/>
    </xf>
    <xf numFmtId="7" fontId="16" fillId="0" borderId="0" xfId="0" applyNumberFormat="1" applyFont="1" applyBorder="1" applyAlignment="1">
      <alignment/>
    </xf>
    <xf numFmtId="7" fontId="10" fillId="2" borderId="4" xfId="15" applyNumberFormat="1" applyFont="1" applyFill="1" applyBorder="1" applyAlignment="1">
      <alignment horizontal="centerContinuous"/>
    </xf>
    <xf numFmtId="7" fontId="5" fillId="0" borderId="0" xfId="0" applyNumberFormat="1" applyFont="1" applyBorder="1" applyAlignment="1">
      <alignment/>
    </xf>
    <xf numFmtId="7" fontId="16" fillId="0" borderId="0" xfId="15" applyNumberFormat="1" applyFont="1" applyBorder="1" applyAlignment="1">
      <alignment/>
    </xf>
    <xf numFmtId="7" fontId="16" fillId="0" borderId="20" xfId="15" applyNumberFormat="1" applyFont="1" applyBorder="1" applyAlignment="1">
      <alignment/>
    </xf>
    <xf numFmtId="7" fontId="5" fillId="0" borderId="20" xfId="15" applyNumberFormat="1" applyFont="1" applyBorder="1" applyAlignment="1">
      <alignment/>
    </xf>
    <xf numFmtId="7" fontId="10" fillId="0" borderId="0" xfId="0" applyNumberFormat="1" applyFont="1" applyBorder="1" applyAlignment="1">
      <alignment/>
    </xf>
    <xf numFmtId="43" fontId="4" fillId="0" borderId="0" xfId="0" applyNumberFormat="1" applyFont="1" applyFill="1" applyBorder="1" applyAlignment="1">
      <alignment horizontal="centerContinuous"/>
    </xf>
    <xf numFmtId="43" fontId="4" fillId="0" borderId="0" xfId="15" applyNumberFormat="1" applyFont="1" applyFill="1" applyBorder="1" applyAlignment="1">
      <alignment horizontal="centerContinuous"/>
    </xf>
    <xf numFmtId="43" fontId="20" fillId="0" borderId="0" xfId="15" applyNumberFormat="1" applyFont="1" applyBorder="1" applyAlignment="1">
      <alignment horizontal="centerContinuous"/>
    </xf>
    <xf numFmtId="43" fontId="5" fillId="0" borderId="0" xfId="15" applyNumberFormat="1" applyFont="1" applyBorder="1" applyAlignment="1">
      <alignment horizontal="centerContinuous"/>
    </xf>
    <xf numFmtId="43" fontId="20" fillId="0" borderId="0" xfId="15" applyNumberFormat="1" applyFont="1" applyFill="1" applyBorder="1" applyAlignment="1">
      <alignment horizontal="centerContinuous"/>
    </xf>
    <xf numFmtId="43" fontId="5" fillId="0" borderId="0" xfId="0" applyNumberFormat="1" applyFont="1" applyBorder="1" applyAlignment="1">
      <alignment horizontal="centerContinuous"/>
    </xf>
    <xf numFmtId="43" fontId="5" fillId="0" borderId="0" xfId="15" applyNumberFormat="1" applyFont="1" applyFill="1" applyBorder="1" applyAlignment="1">
      <alignment horizontal="centerContinuous"/>
    </xf>
    <xf numFmtId="43" fontId="8" fillId="0" borderId="0" xfId="0" applyNumberFormat="1" applyFont="1" applyFill="1" applyBorder="1" applyAlignment="1">
      <alignment horizontal="left" wrapText="1"/>
    </xf>
    <xf numFmtId="43" fontId="21" fillId="2" borderId="0" xfId="15" applyNumberFormat="1" applyFont="1" applyFill="1" applyBorder="1" applyAlignment="1">
      <alignment horizontal="center" wrapText="1"/>
    </xf>
    <xf numFmtId="43" fontId="9" fillId="0" borderId="0" xfId="0" applyNumberFormat="1" applyFont="1" applyFill="1" applyBorder="1" applyAlignment="1">
      <alignment horizontal="left" wrapText="1"/>
    </xf>
    <xf numFmtId="43" fontId="9" fillId="0" borderId="0" xfId="15" applyNumberFormat="1" applyFont="1" applyFill="1" applyBorder="1" applyAlignment="1">
      <alignment horizontal="left" wrapText="1"/>
    </xf>
    <xf numFmtId="43" fontId="22" fillId="3" borderId="0" xfId="15" applyNumberFormat="1" applyFont="1" applyFill="1" applyBorder="1" applyAlignment="1">
      <alignment vertical="center" wrapText="1"/>
    </xf>
    <xf numFmtId="43" fontId="22" fillId="3" borderId="0" xfId="15" applyNumberFormat="1" applyFont="1" applyFill="1" applyBorder="1" applyAlignment="1">
      <alignment wrapText="1"/>
    </xf>
    <xf numFmtId="43" fontId="5" fillId="0" borderId="0" xfId="0" applyNumberFormat="1" applyFont="1" applyFill="1" applyBorder="1" applyAlignment="1">
      <alignment/>
    </xf>
    <xf numFmtId="43" fontId="5" fillId="0" borderId="0" xfId="15" applyNumberFormat="1" applyFont="1" applyFill="1" applyBorder="1" applyAlignment="1">
      <alignment/>
    </xf>
    <xf numFmtId="43" fontId="5" fillId="0" borderId="0" xfId="0" applyNumberFormat="1" applyFont="1" applyFill="1" applyBorder="1" applyAlignment="1">
      <alignment/>
    </xf>
    <xf numFmtId="43" fontId="5" fillId="0" borderId="0" xfId="15" applyNumberFormat="1" applyFont="1" applyFill="1" applyBorder="1" applyAlignment="1">
      <alignment/>
    </xf>
    <xf numFmtId="43" fontId="9" fillId="0" borderId="0" xfId="15" applyNumberFormat="1" applyFont="1" applyFill="1" applyBorder="1" applyAlignment="1">
      <alignment wrapText="1"/>
    </xf>
    <xf numFmtId="43" fontId="5" fillId="0" borderId="0" xfId="0" applyNumberFormat="1" applyFont="1" applyFill="1" applyBorder="1" applyAlignment="1">
      <alignment horizontal="left"/>
    </xf>
    <xf numFmtId="43" fontId="5" fillId="0" borderId="0" xfId="15" applyNumberFormat="1" applyFont="1" applyFill="1" applyBorder="1" applyAlignment="1">
      <alignment horizontal="right"/>
    </xf>
    <xf numFmtId="43" fontId="8" fillId="0" borderId="0" xfId="0" applyNumberFormat="1" applyFont="1" applyFill="1" applyBorder="1" applyAlignment="1">
      <alignment/>
    </xf>
    <xf numFmtId="43" fontId="8" fillId="0" borderId="0" xfId="0" applyNumberFormat="1" applyFont="1" applyFill="1" applyAlignment="1">
      <alignment/>
    </xf>
    <xf numFmtId="43" fontId="5" fillId="0" borderId="0" xfId="0" applyNumberFormat="1" applyFont="1" applyFill="1" applyAlignment="1">
      <alignment/>
    </xf>
    <xf numFmtId="43" fontId="9" fillId="0" borderId="0" xfId="0" applyNumberFormat="1" applyFont="1" applyFill="1" applyBorder="1" applyAlignment="1">
      <alignment/>
    </xf>
    <xf numFmtId="43" fontId="5" fillId="0" borderId="0" xfId="0" applyNumberFormat="1" applyFont="1" applyFill="1" applyBorder="1" applyAlignment="1">
      <alignment horizontal="left" wrapText="1"/>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1" xfId="0" applyNumberFormat="1" applyFont="1" applyBorder="1" applyAlignment="1">
      <alignment horizontal="centerContinuous"/>
    </xf>
    <xf numFmtId="43" fontId="14" fillId="0" borderId="21" xfId="0" applyNumberFormat="1" applyFont="1" applyBorder="1" applyAlignment="1" quotePrefix="1">
      <alignment wrapText="1"/>
    </xf>
    <xf numFmtId="43" fontId="14" fillId="0" borderId="21" xfId="0" applyNumberFormat="1" applyFont="1" applyBorder="1" applyAlignment="1">
      <alignment horizontal="center" wrapText="1"/>
    </xf>
    <xf numFmtId="43" fontId="14" fillId="0" borderId="22" xfId="0" applyNumberFormat="1" applyFont="1" applyBorder="1" applyAlignment="1">
      <alignment horizontal="center" wrapText="1"/>
    </xf>
    <xf numFmtId="43" fontId="10" fillId="0" borderId="21" xfId="0" applyNumberFormat="1" applyFont="1" applyBorder="1" applyAlignment="1">
      <alignment horizontal="center" wrapText="1"/>
    </xf>
    <xf numFmtId="43" fontId="14" fillId="0" borderId="21" xfId="0" applyNumberFormat="1" applyFont="1" applyBorder="1" applyAlignment="1">
      <alignment horizontal="left" wrapText="1"/>
    </xf>
    <xf numFmtId="43" fontId="10" fillId="0" borderId="21" xfId="0" applyNumberFormat="1" applyFont="1" applyBorder="1" applyAlignment="1">
      <alignment horizontal="left" wrapText="1"/>
    </xf>
    <xf numFmtId="43" fontId="10" fillId="0" borderId="23"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1" xfId="0" applyNumberFormat="1" applyFont="1" applyBorder="1" applyAlignment="1" quotePrefix="1">
      <alignment wrapText="1"/>
    </xf>
    <xf numFmtId="7" fontId="14" fillId="0" borderId="21" xfId="0" applyNumberFormat="1" applyFont="1" applyBorder="1" applyAlignment="1">
      <alignment horizontal="center" wrapText="1"/>
    </xf>
    <xf numFmtId="7" fontId="14" fillId="0" borderId="24" xfId="0" applyNumberFormat="1" applyFont="1" applyBorder="1" applyAlignment="1">
      <alignment horizontal="center" wrapText="1"/>
    </xf>
    <xf numFmtId="7" fontId="10" fillId="0" borderId="25" xfId="0" applyNumberFormat="1" applyFont="1" applyBorder="1" applyAlignment="1">
      <alignment horizontal="center" wrapText="1"/>
    </xf>
    <xf numFmtId="7" fontId="14" fillId="0" borderId="25" xfId="0" applyNumberFormat="1" applyFont="1" applyBorder="1" applyAlignment="1">
      <alignment horizontal="left" wrapText="1"/>
    </xf>
    <xf numFmtId="7" fontId="10" fillId="0" borderId="25" xfId="0" applyNumberFormat="1" applyFont="1" applyBorder="1" applyAlignment="1">
      <alignment horizontal="left" wrapText="1"/>
    </xf>
    <xf numFmtId="7" fontId="10" fillId="0" borderId="26" xfId="0" applyNumberFormat="1" applyFont="1" applyBorder="1" applyAlignment="1">
      <alignment horizontal="left" wrapText="1"/>
    </xf>
    <xf numFmtId="7" fontId="47" fillId="0" borderId="0" xfId="0" applyNumberFormat="1" applyFont="1" applyFill="1" applyAlignment="1">
      <alignment horizontal="centerContinuous"/>
    </xf>
    <xf numFmtId="7" fontId="47" fillId="0" borderId="0" xfId="15" applyNumberFormat="1" applyFont="1" applyFill="1" applyAlignment="1">
      <alignment horizontal="centerContinuous"/>
    </xf>
    <xf numFmtId="7" fontId="49"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0" applyNumberFormat="1" applyFont="1" applyFill="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91" fontId="47" fillId="0" borderId="0" xfId="0" applyNumberFormat="1" applyFont="1" applyFill="1" applyAlignment="1">
      <alignment horizontal="centerContinuous"/>
    </xf>
    <xf numFmtId="191" fontId="49" fillId="0" borderId="0" xfId="0" applyNumberFormat="1" applyFont="1" applyAlignment="1">
      <alignment horizontal="centerContinuous"/>
    </xf>
    <xf numFmtId="191" fontId="4" fillId="0" borderId="0" xfId="0" applyNumberFormat="1" applyFont="1" applyFill="1" applyAlignment="1">
      <alignment horizontal="centerContinuous"/>
    </xf>
    <xf numFmtId="191" fontId="5" fillId="0" borderId="0" xfId="0" applyNumberFormat="1" applyFont="1" applyAlignment="1">
      <alignment horizontal="centerContinuous"/>
    </xf>
    <xf numFmtId="191" fontId="14" fillId="0" borderId="0" xfId="0" applyNumberFormat="1" applyFont="1" applyAlignment="1">
      <alignment horizontal="centerContinuous"/>
    </xf>
    <xf numFmtId="191" fontId="10" fillId="0" borderId="0" xfId="0" applyNumberFormat="1" applyFont="1" applyFill="1" applyAlignment="1">
      <alignment horizontal="centerContinuous"/>
    </xf>
    <xf numFmtId="191" fontId="6" fillId="0" borderId="0" xfId="0" applyNumberFormat="1" applyFont="1" applyFill="1" applyAlignment="1">
      <alignment horizontal="centerContinuous"/>
    </xf>
    <xf numFmtId="191" fontId="10" fillId="0" borderId="0" xfId="0" applyNumberFormat="1" applyFont="1" applyFill="1" applyAlignment="1">
      <alignment horizontal="left" wrapText="1"/>
    </xf>
    <xf numFmtId="191" fontId="15" fillId="2" borderId="0" xfId="0" applyNumberFormat="1" applyFont="1" applyFill="1" applyAlignment="1">
      <alignment horizontal="centerContinuous" wrapText="1"/>
    </xf>
    <xf numFmtId="191" fontId="15" fillId="2" borderId="0" xfId="0" applyNumberFormat="1" applyFont="1" applyFill="1" applyAlignment="1">
      <alignment horizontal="center" wrapText="1"/>
    </xf>
    <xf numFmtId="191" fontId="10" fillId="0" borderId="0" xfId="0" applyNumberFormat="1" applyFont="1" applyFill="1" applyAlignment="1">
      <alignment horizontal="center" wrapText="1"/>
    </xf>
    <xf numFmtId="191" fontId="14" fillId="0" borderId="0" xfId="0" applyNumberFormat="1" applyFont="1" applyFill="1" applyAlignment="1">
      <alignment/>
    </xf>
    <xf numFmtId="191" fontId="10" fillId="0" borderId="0" xfId="0" applyNumberFormat="1" applyFont="1" applyFill="1" applyAlignment="1">
      <alignment horizontal="center"/>
    </xf>
    <xf numFmtId="191" fontId="14" fillId="0" borderId="0" xfId="0" applyNumberFormat="1" applyFont="1" applyFill="1" applyBorder="1" applyAlignment="1">
      <alignment horizontal="left"/>
    </xf>
    <xf numFmtId="7" fontId="50" fillId="4" borderId="0" xfId="0" applyNumberFormat="1" applyFont="1" applyFill="1" applyBorder="1" applyAlignment="1" applyProtection="1">
      <alignment horizontal="centerContinuous"/>
      <protection locked="0"/>
    </xf>
    <xf numFmtId="7" fontId="4" fillId="0" borderId="0" xfId="15" applyNumberFormat="1" applyFont="1" applyFill="1" applyAlignment="1">
      <alignment horizontal="centerContinuous"/>
    </xf>
    <xf numFmtId="7" fontId="4" fillId="4" borderId="0" xfId="0" applyNumberFormat="1" applyFont="1" applyFill="1" applyBorder="1" applyAlignment="1" applyProtection="1">
      <alignment horizontal="centerContinuous"/>
      <protection locked="0"/>
    </xf>
    <xf numFmtId="7" fontId="5" fillId="0" borderId="0" xfId="0" applyNumberFormat="1" applyFont="1" applyAlignment="1">
      <alignment horizontal="centerContinuous"/>
    </xf>
    <xf numFmtId="7" fontId="10" fillId="4" borderId="0" xfId="0" applyNumberFormat="1" applyFont="1" applyFill="1" applyBorder="1" applyAlignment="1" applyProtection="1">
      <alignment/>
      <protection locked="0"/>
    </xf>
    <xf numFmtId="7" fontId="10" fillId="4" borderId="0" xfId="0" applyNumberFormat="1" applyFont="1" applyFill="1" applyBorder="1" applyAlignment="1" applyProtection="1">
      <alignment horizontal="left"/>
      <protection locked="0"/>
    </xf>
    <xf numFmtId="7" fontId="6" fillId="0" borderId="0" xfId="15" applyNumberFormat="1" applyFont="1" applyAlignment="1">
      <alignment/>
    </xf>
    <xf numFmtId="7" fontId="14" fillId="4" borderId="0" xfId="0" applyNumberFormat="1" applyFont="1" applyFill="1" applyBorder="1" applyAlignment="1" applyProtection="1">
      <alignment/>
      <protection locked="0"/>
    </xf>
    <xf numFmtId="7" fontId="10" fillId="4" borderId="0" xfId="0" applyNumberFormat="1" applyFont="1" applyFill="1" applyBorder="1" applyAlignment="1" applyProtection="1">
      <alignment horizontal="center"/>
      <protection locked="0"/>
    </xf>
    <xf numFmtId="7" fontId="31" fillId="4" borderId="0" xfId="0" applyNumberFormat="1" applyFont="1" applyFill="1" applyBorder="1" applyAlignment="1" applyProtection="1">
      <alignment/>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7" fillId="0" borderId="0" xfId="0" applyNumberFormat="1" applyFont="1" applyBorder="1" applyAlignment="1">
      <alignment horizontal="centerContinuous"/>
    </xf>
    <xf numFmtId="7" fontId="47" fillId="0" borderId="0" xfId="15" applyNumberFormat="1" applyFont="1" applyBorder="1" applyAlignment="1">
      <alignment horizontal="centerContinuous"/>
    </xf>
    <xf numFmtId="7" fontId="49"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4" xfId="15" applyNumberFormat="1" applyFont="1" applyFill="1" applyBorder="1" applyAlignment="1">
      <alignment horizontal="right"/>
    </xf>
    <xf numFmtId="5" fontId="14" fillId="0" borderId="25" xfId="15" applyNumberFormat="1" applyFont="1" applyFill="1" applyBorder="1" applyAlignment="1">
      <alignment horizontal="right"/>
    </xf>
    <xf numFmtId="5" fontId="10" fillId="0" borderId="27"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5" xfId="15" applyFont="1" applyFill="1" applyBorder="1" applyAlignment="1">
      <alignment horizontal="right"/>
    </xf>
    <xf numFmtId="164" fontId="14" fillId="0" borderId="25" xfId="15" applyNumberFormat="1" applyFont="1" applyFill="1" applyBorder="1" applyAlignment="1">
      <alignment horizontal="right"/>
    </xf>
    <xf numFmtId="164" fontId="35" fillId="0" borderId="25"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4" xfId="15" applyNumberFormat="1" applyFont="1" applyBorder="1" applyAlignment="1">
      <alignment/>
    </xf>
    <xf numFmtId="164" fontId="14" fillId="0" borderId="20" xfId="15" applyNumberFormat="1" applyFont="1" applyBorder="1" applyAlignment="1">
      <alignment/>
    </xf>
    <xf numFmtId="164" fontId="14" fillId="0" borderId="28" xfId="15" applyNumberFormat="1" applyFont="1" applyBorder="1" applyAlignment="1">
      <alignment/>
    </xf>
    <xf numFmtId="164" fontId="14" fillId="0" borderId="23" xfId="15" applyNumberFormat="1" applyFont="1" applyBorder="1" applyAlignment="1">
      <alignment/>
    </xf>
    <xf numFmtId="164" fontId="14" fillId="0" borderId="21"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3" xfId="15" applyNumberFormat="1" applyFont="1" applyFill="1" applyBorder="1" applyAlignment="1">
      <alignment/>
    </xf>
    <xf numFmtId="164" fontId="5" fillId="0" borderId="5"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1" xfId="15" applyNumberFormat="1" applyFont="1" applyFill="1" applyBorder="1" applyAlignment="1">
      <alignment/>
    </xf>
    <xf numFmtId="164" fontId="27" fillId="0" borderId="0" xfId="15" applyNumberFormat="1" applyFont="1" applyFill="1" applyBorder="1" applyAlignment="1">
      <alignment/>
    </xf>
    <xf numFmtId="164" fontId="36"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horizontal="left" wrapText="1"/>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164" fontId="8" fillId="0" borderId="0" xfId="15" applyNumberFormat="1" applyFont="1" applyFill="1" applyAlignment="1">
      <alignment/>
    </xf>
    <xf numFmtId="164" fontId="9"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7" applyNumberFormat="1" applyFont="1" applyFill="1" applyBorder="1" applyAlignment="1">
      <alignment/>
    </xf>
    <xf numFmtId="5" fontId="5" fillId="0" borderId="0" xfId="15" applyNumberFormat="1" applyFont="1" applyFill="1" applyBorder="1" applyAlignment="1">
      <alignment/>
    </xf>
    <xf numFmtId="5" fontId="5" fillId="0" borderId="21" xfId="15" applyNumberFormat="1" applyFont="1" applyFill="1" applyBorder="1" applyAlignment="1">
      <alignment/>
    </xf>
    <xf numFmtId="164" fontId="43" fillId="0" borderId="0" xfId="15" applyNumberFormat="1" applyFont="1" applyFill="1" applyBorder="1" applyAlignment="1">
      <alignment/>
    </xf>
    <xf numFmtId="164" fontId="14" fillId="0" borderId="20" xfId="15" applyNumberFormat="1" applyFont="1" applyBorder="1" applyAlignment="1">
      <alignment horizontal="centerContinuous"/>
    </xf>
    <xf numFmtId="164" fontId="10" fillId="2" borderId="22" xfId="15" applyNumberFormat="1" applyFont="1" applyFill="1" applyBorder="1" applyAlignment="1" quotePrefix="1">
      <alignment horizontal="centerContinuous"/>
    </xf>
    <xf numFmtId="164" fontId="10" fillId="2" borderId="30" xfId="15" applyNumberFormat="1" applyFont="1" applyFill="1" applyBorder="1" applyAlignment="1" quotePrefix="1">
      <alignment horizontal="centerContinuous" wrapText="1"/>
    </xf>
    <xf numFmtId="164" fontId="14" fillId="2" borderId="15" xfId="15" applyNumberFormat="1" applyFont="1" applyFill="1" applyBorder="1" applyAlignment="1">
      <alignment horizontal="centerContinuous"/>
    </xf>
    <xf numFmtId="164" fontId="10" fillId="2" borderId="23" xfId="15" applyNumberFormat="1" applyFont="1" applyFill="1" applyBorder="1" applyAlignment="1">
      <alignment horizontal="centerContinuous"/>
    </xf>
    <xf numFmtId="164" fontId="10" fillId="2" borderId="4" xfId="15" applyNumberFormat="1" applyFont="1" applyFill="1" applyBorder="1" applyAlignment="1">
      <alignment horizontal="centerContinuous"/>
    </xf>
    <xf numFmtId="164" fontId="10" fillId="2" borderId="14" xfId="15" applyNumberFormat="1" applyFont="1" applyFill="1" applyBorder="1" applyAlignment="1">
      <alignment horizontal="centerContinuous"/>
    </xf>
    <xf numFmtId="164" fontId="10" fillId="0" borderId="22" xfId="15" applyNumberFormat="1" applyFont="1" applyBorder="1" applyAlignment="1">
      <alignment horizontal="centerContinuous"/>
    </xf>
    <xf numFmtId="164" fontId="10" fillId="0" borderId="30" xfId="15" applyNumberFormat="1" applyFont="1" applyBorder="1" applyAlignment="1">
      <alignment horizontal="centerContinuous"/>
    </xf>
    <xf numFmtId="164" fontId="10" fillId="0" borderId="15" xfId="15" applyNumberFormat="1" applyFont="1" applyBorder="1" applyAlignment="1">
      <alignment horizontal="centerContinuous"/>
    </xf>
    <xf numFmtId="164" fontId="14" fillId="0" borderId="21" xfId="15" applyNumberFormat="1" applyFont="1" applyBorder="1" applyAlignment="1">
      <alignment horizontal="right"/>
    </xf>
    <xf numFmtId="164" fontId="14" fillId="6" borderId="20" xfId="15" applyNumberFormat="1" applyFont="1" applyBorder="1" applyAlignment="1">
      <alignment horizontal="right"/>
    </xf>
    <xf numFmtId="164" fontId="14" fillId="0" borderId="23" xfId="15" applyNumberFormat="1" applyFont="1" applyBorder="1" applyAlignment="1">
      <alignment horizontal="right"/>
    </xf>
    <xf numFmtId="164" fontId="14" fillId="0" borderId="4" xfId="15" applyNumberFormat="1" applyFont="1" applyBorder="1" applyAlignment="1">
      <alignment horizontal="right"/>
    </xf>
    <xf numFmtId="164" fontId="14" fillId="6" borderId="14" xfId="15" applyNumberFormat="1" applyFont="1" applyBorder="1" applyAlignment="1">
      <alignment horizontal="right"/>
    </xf>
    <xf numFmtId="164" fontId="23" fillId="0" borderId="21" xfId="15" applyNumberFormat="1" applyFont="1" applyBorder="1" applyAlignment="1">
      <alignment horizontal="right"/>
    </xf>
    <xf numFmtId="164" fontId="10" fillId="6" borderId="20" xfId="15" applyNumberFormat="1" applyFont="1" applyBorder="1" applyAlignment="1">
      <alignment horizontal="right"/>
    </xf>
    <xf numFmtId="164" fontId="14" fillId="0" borderId="20" xfId="15" applyNumberFormat="1" applyFont="1" applyBorder="1" applyAlignment="1">
      <alignment horizontal="right"/>
    </xf>
    <xf numFmtId="164" fontId="10" fillId="6" borderId="31" xfId="15" applyNumberFormat="1" applyFont="1" applyBorder="1" applyAlignment="1">
      <alignment horizontal="right"/>
    </xf>
    <xf numFmtId="164" fontId="31" fillId="0" borderId="20" xfId="15" applyNumberFormat="1" applyFont="1" applyBorder="1" applyAlignment="1">
      <alignment/>
    </xf>
    <xf numFmtId="164" fontId="14" fillId="0" borderId="14"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0" xfId="15" applyNumberFormat="1" applyFont="1" applyBorder="1" applyAlignment="1">
      <alignment horizontal="centerContinuous"/>
    </xf>
    <xf numFmtId="5" fontId="10" fillId="2" borderId="22"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5" xfId="15" applyNumberFormat="1" applyFont="1" applyFill="1" applyBorder="1" applyAlignment="1">
      <alignment horizontal="centerContinuous"/>
    </xf>
    <xf numFmtId="5" fontId="10" fillId="2" borderId="23"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4" xfId="15" applyNumberFormat="1" applyFont="1" applyFill="1" applyBorder="1" applyAlignment="1">
      <alignment horizontal="centerContinuous"/>
    </xf>
    <xf numFmtId="5" fontId="10" fillId="0" borderId="22"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5" xfId="15" applyNumberFormat="1" applyFont="1" applyBorder="1" applyAlignment="1">
      <alignment horizontal="centerContinuous"/>
    </xf>
    <xf numFmtId="5" fontId="14" fillId="0" borderId="21" xfId="15" applyNumberFormat="1" applyFont="1" applyBorder="1" applyAlignment="1">
      <alignment horizontal="right"/>
    </xf>
    <xf numFmtId="5" fontId="14" fillId="6" borderId="20" xfId="15" applyNumberFormat="1" applyFont="1" applyBorder="1" applyAlignment="1">
      <alignment horizontal="right"/>
    </xf>
    <xf numFmtId="5" fontId="14" fillId="0" borderId="23" xfId="15" applyNumberFormat="1" applyFont="1" applyBorder="1" applyAlignment="1">
      <alignment horizontal="right"/>
    </xf>
    <xf numFmtId="5" fontId="14" fillId="0" borderId="4" xfId="15" applyNumberFormat="1" applyFont="1" applyBorder="1" applyAlignment="1">
      <alignment horizontal="right"/>
    </xf>
    <xf numFmtId="5" fontId="10" fillId="6" borderId="20" xfId="15" applyNumberFormat="1" applyFont="1" applyBorder="1" applyAlignment="1">
      <alignment horizontal="right"/>
    </xf>
    <xf numFmtId="5" fontId="10" fillId="6" borderId="14"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1"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1" xfId="15" applyNumberFormat="1" applyFont="1" applyFill="1" applyBorder="1" applyAlignment="1">
      <alignment horizontal="right"/>
    </xf>
    <xf numFmtId="164" fontId="10" fillId="0" borderId="32" xfId="15" applyNumberFormat="1" applyFont="1" applyBorder="1" applyAlignment="1">
      <alignment horizontal="right"/>
    </xf>
    <xf numFmtId="168" fontId="14" fillId="0" borderId="0" xfId="15" applyNumberFormat="1" applyFont="1" applyFill="1" applyAlignment="1">
      <alignment horizontal="right"/>
    </xf>
    <xf numFmtId="164" fontId="14" fillId="0" borderId="23"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164" fontId="14" fillId="0" borderId="5" xfId="15" applyNumberFormat="1" applyFont="1" applyFill="1" applyBorder="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31" fillId="0" borderId="0" xfId="15" applyNumberFormat="1" applyFont="1" applyFill="1" applyAlignment="1">
      <alignmen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5" fontId="14" fillId="0" borderId="0" xfId="17" applyNumberFormat="1" applyFont="1" applyBorder="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4"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0" xfId="15" applyNumberFormat="1" applyFont="1" applyBorder="1" applyAlignment="1">
      <alignment/>
    </xf>
    <xf numFmtId="43" fontId="5" fillId="0" borderId="0" xfId="15" applyFont="1" applyFill="1" applyBorder="1" applyAlignment="1">
      <alignment/>
    </xf>
    <xf numFmtId="5" fontId="10" fillId="6" borderId="14" xfId="15" applyNumberFormat="1" applyFont="1" applyBorder="1" applyAlignment="1">
      <alignment horizontal="right"/>
    </xf>
    <xf numFmtId="192" fontId="47" fillId="0" borderId="0" xfId="15" applyNumberFormat="1" applyFont="1" applyFill="1" applyAlignment="1">
      <alignment horizontal="centerContinuous"/>
    </xf>
    <xf numFmtId="192" fontId="50" fillId="4" borderId="0" xfId="15" applyNumberFormat="1" applyFont="1" applyFill="1" applyBorder="1" applyAlignment="1" applyProtection="1">
      <alignment horizontal="centerContinuous"/>
      <protection locked="0"/>
    </xf>
    <xf numFmtId="192" fontId="51" fillId="0" borderId="0" xfId="15" applyNumberFormat="1" applyFont="1" applyAlignment="1">
      <alignment horizontal="centerContinuous"/>
    </xf>
    <xf numFmtId="192" fontId="5" fillId="0" borderId="0" xfId="15" applyNumberFormat="1" applyFont="1" applyAlignment="1">
      <alignment horizontal="centerContinuous"/>
    </xf>
    <xf numFmtId="192" fontId="4" fillId="0" borderId="0" xfId="15" applyNumberFormat="1" applyFont="1" applyFill="1" applyAlignment="1">
      <alignment horizontal="centerContinuous"/>
    </xf>
    <xf numFmtId="192" fontId="10" fillId="0" borderId="0" xfId="15" applyNumberFormat="1" applyFont="1" applyFill="1" applyAlignment="1">
      <alignment horizontal="centerContinuous"/>
    </xf>
    <xf numFmtId="192" fontId="4" fillId="4" borderId="0" xfId="15" applyNumberFormat="1" applyFont="1" applyFill="1" applyBorder="1" applyAlignment="1" applyProtection="1">
      <alignment horizontal="centerContinuous"/>
      <protection locked="0"/>
    </xf>
    <xf numFmtId="192" fontId="13" fillId="4" borderId="0" xfId="15" applyNumberFormat="1" applyFont="1" applyFill="1" applyBorder="1" applyAlignment="1" applyProtection="1">
      <alignment horizontal="centerContinuous"/>
      <protection locked="0"/>
    </xf>
    <xf numFmtId="192" fontId="15" fillId="2" borderId="0" xfId="15" applyNumberFormat="1" applyFont="1" applyFill="1" applyAlignment="1">
      <alignment horizontal="centerContinuous" wrapText="1"/>
    </xf>
    <xf numFmtId="192" fontId="15" fillId="2" borderId="0" xfId="15" applyNumberFormat="1" applyFont="1" applyFill="1" applyAlignment="1">
      <alignment horizontal="center" wrapText="1"/>
    </xf>
    <xf numFmtId="192" fontId="15" fillId="5" borderId="0" xfId="15" applyNumberFormat="1" applyFont="1" applyFill="1" applyBorder="1" applyAlignment="1" applyProtection="1">
      <alignment horizontal="center" wrapText="1"/>
      <protection locked="0"/>
    </xf>
    <xf numFmtId="192" fontId="6" fillId="0" borderId="0" xfId="15" applyNumberFormat="1" applyFont="1" applyAlignment="1">
      <alignment/>
    </xf>
    <xf numFmtId="192" fontId="14" fillId="4" borderId="0" xfId="15" applyNumberFormat="1" applyFont="1" applyFill="1" applyBorder="1" applyAlignment="1" applyProtection="1">
      <alignment/>
      <protection locked="0"/>
    </xf>
    <xf numFmtId="192" fontId="14" fillId="0" borderId="0" xfId="15" applyNumberFormat="1" applyFont="1" applyFill="1" applyAlignment="1">
      <alignment/>
    </xf>
    <xf numFmtId="192" fontId="6" fillId="0" borderId="0" xfId="15" applyNumberFormat="1" applyFont="1" applyAlignment="1">
      <alignment/>
    </xf>
    <xf numFmtId="192" fontId="10" fillId="4" borderId="0" xfId="15" applyNumberFormat="1" applyFont="1" applyFill="1" applyBorder="1" applyAlignment="1" applyProtection="1">
      <alignment/>
      <protection locked="0"/>
    </xf>
    <xf numFmtId="192" fontId="10" fillId="0" borderId="0" xfId="15" applyNumberFormat="1" applyFont="1" applyBorder="1" applyAlignment="1">
      <alignment/>
    </xf>
    <xf numFmtId="19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5" fontId="10" fillId="0" borderId="6" xfId="15" applyNumberFormat="1" applyFont="1" applyBorder="1" applyAlignment="1">
      <alignment/>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3" fillId="0" borderId="0" xfId="0" applyNumberFormat="1" applyFont="1" applyAlignment="1">
      <alignment/>
    </xf>
    <xf numFmtId="171" fontId="43" fillId="0" borderId="0" xfId="0" applyNumberFormat="1" applyFont="1" applyAlignment="1">
      <alignment/>
    </xf>
    <xf numFmtId="9" fontId="43" fillId="0" borderId="0" xfId="21" applyFont="1" applyAlignment="1">
      <alignment horizontal="right" wrapText="1"/>
    </xf>
    <xf numFmtId="171" fontId="43" fillId="0" borderId="0" xfId="0" applyNumberFormat="1" applyFont="1" applyAlignment="1">
      <alignment horizontal="right" wrapText="1"/>
    </xf>
    <xf numFmtId="39" fontId="43" fillId="0" borderId="0" xfId="0" applyNumberFormat="1" applyFont="1" applyAlignment="1">
      <alignment/>
    </xf>
    <xf numFmtId="38" fontId="43" fillId="0" borderId="0" xfId="0" applyNumberFormat="1" applyFont="1" applyAlignment="1">
      <alignment/>
    </xf>
    <xf numFmtId="43" fontId="43" fillId="0" borderId="0" xfId="15" applyFont="1" applyAlignment="1">
      <alignment/>
    </xf>
    <xf numFmtId="9" fontId="43" fillId="0" borderId="0" xfId="21" applyFont="1" applyAlignment="1">
      <alignment horizontal="centerContinuous" wrapText="1"/>
    </xf>
    <xf numFmtId="0" fontId="57" fillId="0" borderId="0" xfId="0" applyFont="1" applyAlignment="1">
      <alignment/>
    </xf>
    <xf numFmtId="0" fontId="58"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164" fontId="5" fillId="0" borderId="0" xfId="15" applyNumberFormat="1" applyFont="1" applyFill="1" applyBorder="1" applyAlignment="1">
      <alignment/>
    </xf>
    <xf numFmtId="5" fontId="10" fillId="6" borderId="20" xfId="15" applyNumberFormat="1" applyFont="1" applyBorder="1" applyAlignment="1">
      <alignment horizontal="right" wrapText="1"/>
    </xf>
    <xf numFmtId="0" fontId="14" fillId="0" borderId="24" xfId="0" applyFont="1" applyBorder="1" applyAlignment="1">
      <alignment horizontal="left"/>
    </xf>
    <xf numFmtId="0" fontId="14" fillId="0" borderId="25" xfId="0" applyFont="1" applyBorder="1" applyAlignment="1">
      <alignment horizontal="left"/>
    </xf>
    <xf numFmtId="164" fontId="14" fillId="0" borderId="25" xfId="15" applyNumberFormat="1" applyFont="1" applyBorder="1" applyAlignment="1">
      <alignment/>
    </xf>
    <xf numFmtId="164" fontId="14" fillId="0" borderId="25" xfId="15" applyNumberFormat="1" applyFont="1" applyBorder="1" applyAlignment="1">
      <alignment horizontal="left"/>
    </xf>
    <xf numFmtId="164" fontId="14" fillId="0" borderId="25" xfId="0" applyNumberFormat="1" applyFont="1" applyBorder="1" applyAlignment="1">
      <alignment horizontal="left"/>
    </xf>
    <xf numFmtId="164" fontId="14" fillId="0" borderId="4" xfId="15" applyNumberFormat="1" applyFont="1" applyBorder="1" applyAlignment="1">
      <alignment horizontal="left"/>
    </xf>
    <xf numFmtId="43" fontId="14" fillId="0" borderId="25" xfId="15" applyFont="1" applyBorder="1" applyAlignment="1">
      <alignment/>
    </xf>
    <xf numFmtId="164" fontId="14" fillId="0" borderId="25" xfId="15" applyNumberFormat="1" applyFont="1" applyBorder="1" applyAlignment="1">
      <alignment/>
    </xf>
    <xf numFmtId="164" fontId="14" fillId="0" borderId="25"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0" xfId="0" applyFont="1" applyBorder="1" applyAlignment="1">
      <alignment/>
    </xf>
    <xf numFmtId="7" fontId="14" fillId="0" borderId="21"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1" xfId="0" applyNumberFormat="1" applyFont="1" applyFill="1" applyBorder="1" applyAlignment="1">
      <alignment horizontal="left" wrapText="1"/>
    </xf>
    <xf numFmtId="7" fontId="14" fillId="0" borderId="21"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1" xfId="0" applyNumberFormat="1" applyFont="1" applyBorder="1" applyAlignment="1">
      <alignment/>
    </xf>
    <xf numFmtId="0" fontId="14" fillId="0" borderId="21" xfId="0" applyFont="1" applyBorder="1" applyAlignment="1">
      <alignment/>
    </xf>
    <xf numFmtId="0" fontId="14" fillId="2" borderId="0" xfId="0" applyFont="1" applyFill="1" applyBorder="1" applyAlignment="1">
      <alignment horizontal="left"/>
    </xf>
    <xf numFmtId="7" fontId="10" fillId="0" borderId="21" xfId="18" applyNumberFormat="1" applyFont="1" applyFill="1" applyBorder="1" applyAlignment="1">
      <alignment horizontal="center" wrapText="1"/>
    </xf>
    <xf numFmtId="7" fontId="14" fillId="0" borderId="21" xfId="18" applyNumberFormat="1" applyFont="1" applyFill="1" applyBorder="1" applyAlignment="1">
      <alignment horizontal="right" wrapText="1"/>
    </xf>
    <xf numFmtId="43" fontId="14" fillId="0" borderId="0" xfId="15" applyFont="1" applyBorder="1" applyAlignment="1">
      <alignment horizontal="left"/>
    </xf>
    <xf numFmtId="0" fontId="14" fillId="0" borderId="20" xfId="0" applyFont="1" applyBorder="1" applyAlignment="1">
      <alignment/>
    </xf>
    <xf numFmtId="7" fontId="16" fillId="0" borderId="21" xfId="18" applyNumberFormat="1" applyFont="1" applyFill="1" applyBorder="1" applyAlignment="1">
      <alignment horizontal="left" wrapText="1"/>
    </xf>
    <xf numFmtId="7" fontId="14" fillId="0" borderId="21"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0" xfId="15" applyNumberFormat="1" applyFont="1" applyFill="1" applyBorder="1" applyAlignment="1">
      <alignment horizontal="right"/>
    </xf>
    <xf numFmtId="7" fontId="10" fillId="0" borderId="21"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3"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0"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5" xfId="15" applyNumberFormat="1" applyFont="1" applyBorder="1" applyAlignment="1">
      <alignment/>
    </xf>
    <xf numFmtId="164" fontId="16" fillId="0" borderId="20" xfId="15" applyNumberFormat="1" applyFont="1" applyBorder="1" applyAlignment="1">
      <alignment/>
    </xf>
    <xf numFmtId="164" fontId="14" fillId="0" borderId="34" xfId="15" applyNumberFormat="1" applyFont="1" applyBorder="1" applyAlignment="1">
      <alignment/>
    </xf>
    <xf numFmtId="7" fontId="16" fillId="0" borderId="15" xfId="15" applyNumberFormat="1" applyFont="1" applyBorder="1" applyAlignment="1">
      <alignment/>
    </xf>
    <xf numFmtId="7" fontId="14" fillId="0" borderId="14" xfId="15" applyNumberFormat="1" applyFont="1" applyBorder="1" applyAlignment="1">
      <alignment/>
    </xf>
    <xf numFmtId="0" fontId="59"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9"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60" fillId="0" borderId="0" xfId="15" applyNumberFormat="1" applyFont="1" applyAlignment="1">
      <alignment/>
    </xf>
    <xf numFmtId="0" fontId="61" fillId="0" borderId="0" xfId="0" applyFont="1" applyAlignment="1">
      <alignment/>
    </xf>
    <xf numFmtId="164" fontId="60" fillId="0" borderId="0" xfId="15" applyNumberFormat="1" applyFont="1" applyAlignment="1">
      <alignment/>
    </xf>
    <xf numFmtId="164" fontId="60" fillId="0" borderId="4" xfId="15" applyNumberFormat="1" applyFont="1" applyBorder="1" applyAlignment="1">
      <alignment/>
    </xf>
    <xf numFmtId="164" fontId="37" fillId="0" borderId="0" xfId="15" applyNumberFormat="1" applyFont="1" applyBorder="1" applyAlignment="1">
      <alignment horizontal="right"/>
    </xf>
    <xf numFmtId="164" fontId="60" fillId="0" borderId="0" xfId="15" applyNumberFormat="1" applyFont="1" applyBorder="1" applyAlignment="1">
      <alignment/>
    </xf>
    <xf numFmtId="164" fontId="37" fillId="0" borderId="0" xfId="0" applyNumberFormat="1" applyFont="1" applyBorder="1" applyAlignment="1">
      <alignment horizontal="right"/>
    </xf>
    <xf numFmtId="164" fontId="61" fillId="0" borderId="6" xfId="15" applyNumberFormat="1" applyFont="1" applyBorder="1" applyAlignment="1">
      <alignment/>
    </xf>
    <xf numFmtId="164" fontId="37"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1" fillId="0" borderId="0" xfId="21" applyNumberFormat="1" applyFont="1" applyAlignment="1">
      <alignment horizontal="right"/>
    </xf>
    <xf numFmtId="10" fontId="61"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1"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1"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1"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1" fillId="0" borderId="35" xfId="17" applyNumberFormat="1" applyFont="1" applyBorder="1" applyAlignment="1">
      <alignment/>
    </xf>
    <xf numFmtId="10" fontId="8" fillId="0" borderId="35" xfId="21" applyNumberFormat="1" applyFont="1" applyBorder="1" applyAlignment="1">
      <alignment horizontal="right"/>
    </xf>
    <xf numFmtId="0" fontId="62" fillId="0" borderId="0" xfId="0" applyFont="1" applyAlignment="1">
      <alignment/>
    </xf>
    <xf numFmtId="0" fontId="43" fillId="0" borderId="0" xfId="0" applyNumberFormat="1" applyFont="1" applyBorder="1" applyAlignment="1">
      <alignment horizontal="left"/>
    </xf>
    <xf numFmtId="5" fontId="43" fillId="0" borderId="0" xfId="0" applyNumberFormat="1" applyFont="1" applyBorder="1" applyAlignment="1">
      <alignment horizontal="right"/>
    </xf>
    <xf numFmtId="37" fontId="62" fillId="0" borderId="0" xfId="0" applyNumberFormat="1" applyFont="1" applyAlignment="1">
      <alignment/>
    </xf>
    <xf numFmtId="43" fontId="62" fillId="0" borderId="0" xfId="15" applyFont="1" applyAlignment="1">
      <alignment/>
    </xf>
    <xf numFmtId="164" fontId="43" fillId="0" borderId="0" xfId="15" applyNumberFormat="1" applyFont="1" applyBorder="1" applyAlignment="1">
      <alignment horizontal="right"/>
    </xf>
    <xf numFmtId="164" fontId="62" fillId="0" borderId="0" xfId="15" applyNumberFormat="1" applyFont="1" applyAlignment="1">
      <alignment/>
    </xf>
    <xf numFmtId="10" fontId="43" fillId="0" borderId="0" xfId="21" applyNumberFormat="1" applyFont="1" applyBorder="1" applyAlignment="1">
      <alignment horizontal="right"/>
    </xf>
    <xf numFmtId="164" fontId="1" fillId="0" borderId="0" xfId="15" applyNumberFormat="1" applyFont="1" applyBorder="1" applyAlignment="1">
      <alignment/>
    </xf>
    <xf numFmtId="164" fontId="61" fillId="0" borderId="0" xfId="15" applyNumberFormat="1" applyFont="1" applyBorder="1" applyAlignment="1">
      <alignment/>
    </xf>
    <xf numFmtId="0" fontId="61"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60"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7"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164" fontId="14" fillId="0" borderId="0" xfId="15" applyNumberFormat="1" applyFont="1" applyBorder="1" applyAlignment="1">
      <alignment/>
    </xf>
    <xf numFmtId="38" fontId="8" fillId="0" borderId="0" xfId="0" applyNumberFormat="1" applyFont="1" applyFill="1" applyBorder="1" applyAlignment="1">
      <alignment horizontal="right"/>
    </xf>
    <xf numFmtId="43" fontId="14" fillId="0" borderId="0" xfId="0" applyNumberFormat="1" applyFont="1" applyBorder="1" applyAlignment="1">
      <alignment/>
    </xf>
    <xf numFmtId="164" fontId="14" fillId="0" borderId="0" xfId="15" applyNumberFormat="1" applyFont="1" applyFill="1" applyAlignment="1">
      <alignment horizontal="right"/>
    </xf>
    <xf numFmtId="164" fontId="14" fillId="3" borderId="0" xfId="15" applyNumberFormat="1" applyFont="1" applyFill="1" applyAlignment="1">
      <alignment horizontal="right"/>
    </xf>
    <xf numFmtId="0" fontId="56" fillId="0" borderId="0" xfId="0" applyFont="1" applyAlignment="1">
      <alignment horizontal="left" vertical="center" wrapText="1"/>
    </xf>
    <xf numFmtId="0" fontId="0" fillId="0" borderId="0" xfId="0" applyAlignment="1">
      <alignment horizontal="left" vertical="center" wrapText="1"/>
    </xf>
    <xf numFmtId="0" fontId="63" fillId="0" borderId="0" xfId="0" applyFont="1" applyAlignment="1">
      <alignment horizontal="left" vertical="center" wrapText="1"/>
    </xf>
    <xf numFmtId="0" fontId="63" fillId="0" borderId="0" xfId="0" applyFont="1" applyAlignment="1">
      <alignment/>
    </xf>
    <xf numFmtId="0" fontId="63" fillId="0" borderId="0" xfId="0" applyFont="1" applyAlignment="1">
      <alignment horizontal="center"/>
    </xf>
    <xf numFmtId="0" fontId="64" fillId="0" borderId="0" xfId="0" applyFont="1" applyAlignment="1">
      <alignment horizontal="center"/>
    </xf>
    <xf numFmtId="0" fontId="65" fillId="0" borderId="0" xfId="0" applyFont="1" applyAlignment="1">
      <alignment horizontal="right"/>
    </xf>
    <xf numFmtId="5" fontId="63" fillId="0" borderId="0" xfId="0" applyNumberFormat="1" applyFont="1" applyAlignment="1">
      <alignment/>
    </xf>
    <xf numFmtId="5" fontId="63" fillId="0" borderId="0" xfId="0" applyNumberFormat="1" applyFont="1" applyBorder="1" applyAlignment="1">
      <alignment/>
    </xf>
    <xf numFmtId="5" fontId="63" fillId="0" borderId="0" xfId="0" applyNumberFormat="1" applyFont="1" applyAlignment="1">
      <alignment horizontal="right"/>
    </xf>
    <xf numFmtId="38" fontId="63" fillId="0" borderId="0" xfId="0" applyNumberFormat="1" applyFont="1" applyAlignment="1">
      <alignment horizontal="right"/>
    </xf>
    <xf numFmtId="5" fontId="63" fillId="0" borderId="6" xfId="0" applyNumberFormat="1" applyFont="1" applyBorder="1" applyAlignment="1">
      <alignment horizontal="right"/>
    </xf>
    <xf numFmtId="43" fontId="5" fillId="0" borderId="0" xfId="15" applyFont="1" applyFill="1" applyBorder="1" applyAlignment="1">
      <alignment/>
    </xf>
    <xf numFmtId="164" fontId="10" fillId="0" borderId="27" xfId="15" applyNumberFormat="1" applyFont="1" applyFill="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5" fontId="15" fillId="2" borderId="0" xfId="15" applyNumberFormat="1" applyFont="1" applyFill="1" applyBorder="1" applyAlignment="1">
      <alignment horizontal="center" wrapText="1"/>
    </xf>
    <xf numFmtId="7" fontId="13" fillId="0" borderId="0" xfId="0" applyNumberFormat="1" applyFont="1" applyFill="1" applyBorder="1" applyAlignment="1" quotePrefix="1">
      <alignment horizontal="center"/>
    </xf>
    <xf numFmtId="6" fontId="10" fillId="6" borderId="20" xfId="15" applyNumberFormat="1" applyFont="1" applyBorder="1" applyAlignment="1">
      <alignment horizontal="right"/>
    </xf>
    <xf numFmtId="6" fontId="10" fillId="6" borderId="14" xfId="15" applyNumberFormat="1" applyFont="1" applyBorder="1" applyAlignment="1">
      <alignment horizontal="right"/>
    </xf>
    <xf numFmtId="164" fontId="8" fillId="0" borderId="6" xfId="15" applyNumberFormat="1" applyFont="1" applyFill="1" applyBorder="1" applyAlignment="1">
      <alignment/>
    </xf>
    <xf numFmtId="164" fontId="48"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38" fontId="63" fillId="0" borderId="0" xfId="0" applyNumberFormat="1" applyFont="1" applyAlignment="1">
      <alignment horizontal="center"/>
    </xf>
    <xf numFmtId="0" fontId="10" fillId="0" borderId="0" xfId="0" applyFont="1" applyBorder="1" applyAlignment="1">
      <alignment horizontal="center" wrapText="1"/>
    </xf>
    <xf numFmtId="38" fontId="10" fillId="0" borderId="0" xfId="0" applyNumberFormat="1" applyFont="1" applyBorder="1" applyAlignment="1">
      <alignment horizontal="center" wrapText="1"/>
    </xf>
    <xf numFmtId="0" fontId="4" fillId="0" borderId="0" xfId="0" applyFont="1" applyFill="1" applyBorder="1" applyAlignment="1">
      <alignment horizontal="centerContinuous"/>
    </xf>
    <xf numFmtId="38" fontId="10" fillId="0" borderId="0" xfId="0" applyNumberFormat="1" applyFont="1" applyBorder="1" applyAlignment="1">
      <alignment/>
    </xf>
    <xf numFmtId="5" fontId="63" fillId="0" borderId="0" xfId="0" applyNumberFormat="1" applyFont="1" applyBorder="1" applyAlignment="1">
      <alignment horizontal="center"/>
    </xf>
    <xf numFmtId="164" fontId="14" fillId="0" borderId="0" xfId="15" applyNumberFormat="1" applyFont="1" applyFill="1" applyBorder="1" applyAlignment="1">
      <alignment/>
    </xf>
    <xf numFmtId="164" fontId="14" fillId="0" borderId="0" xfId="15" applyNumberFormat="1" applyFont="1" applyBorder="1" applyAlignment="1">
      <alignment/>
    </xf>
    <xf numFmtId="164" fontId="10" fillId="0" borderId="0" xfId="15" applyNumberFormat="1" applyFont="1" applyBorder="1" applyAlignment="1">
      <alignment/>
    </xf>
    <xf numFmtId="43" fontId="39" fillId="0" borderId="0" xfId="0" applyNumberFormat="1" applyFont="1" applyBorder="1" applyAlignment="1">
      <alignment/>
    </xf>
    <xf numFmtId="0" fontId="64" fillId="0" borderId="0" xfId="0" applyFont="1" applyBorder="1" applyAlignment="1">
      <alignment horizontal="right"/>
    </xf>
    <xf numFmtId="43" fontId="4" fillId="0" borderId="0" xfId="0" applyNumberFormat="1" applyFont="1" applyFill="1" applyBorder="1" applyAlignment="1">
      <alignment horizontal="center"/>
    </xf>
    <xf numFmtId="40" fontId="47"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4" fillId="0" borderId="0" xfId="0" applyNumberFormat="1" applyFont="1" applyBorder="1" applyAlignment="1">
      <alignment horizontal="center"/>
    </xf>
    <xf numFmtId="43" fontId="47" fillId="0" borderId="0" xfId="0" applyNumberFormat="1" applyFont="1" applyFill="1" applyBorder="1" applyAlignment="1">
      <alignment horizontal="center"/>
    </xf>
    <xf numFmtId="43" fontId="4" fillId="0" borderId="0" xfId="0" applyNumberFormat="1" applyFont="1" applyFill="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0" xfId="15" applyNumberFormat="1" applyFont="1" applyFill="1" applyBorder="1" applyAlignment="1">
      <alignment horizontal="center" wrapText="1"/>
    </xf>
    <xf numFmtId="7" fontId="11" fillId="0" borderId="22"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5" xfId="0" applyNumberFormat="1" applyFont="1" applyFill="1" applyBorder="1" applyAlignment="1">
      <alignment horizontal="center"/>
    </xf>
    <xf numFmtId="7" fontId="13" fillId="0" borderId="21"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21"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0" xfId="0" applyNumberFormat="1" applyFont="1" applyFill="1" applyBorder="1" applyAlignment="1" quotePrefix="1">
      <alignment horizontal="center"/>
    </xf>
    <xf numFmtId="7" fontId="4" fillId="0" borderId="21"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47" fillId="0" borderId="0" xfId="0" applyNumberFormat="1" applyFont="1" applyFill="1" applyBorder="1" applyAlignment="1">
      <alignment horizontal="center"/>
    </xf>
    <xf numFmtId="7" fontId="4" fillId="0" borderId="0" xfId="0" applyNumberFormat="1" applyFont="1" applyFill="1" applyBorder="1" applyAlignment="1" quotePrefix="1">
      <alignment horizontal="center"/>
    </xf>
    <xf numFmtId="43" fontId="4" fillId="0" borderId="21" xfId="0" applyNumberFormat="1" applyFont="1" applyBorder="1" applyAlignment="1">
      <alignment horizontal="center"/>
    </xf>
    <xf numFmtId="43" fontId="4" fillId="0" borderId="0" xfId="0" applyNumberFormat="1" applyFont="1" applyBorder="1" applyAlignment="1">
      <alignment horizontal="center"/>
    </xf>
    <xf numFmtId="43" fontId="4" fillId="0" borderId="20" xfId="0" applyNumberFormat="1" applyFont="1" applyBorder="1" applyAlignment="1">
      <alignment horizontal="center"/>
    </xf>
    <xf numFmtId="43" fontId="18" fillId="0" borderId="22" xfId="0" applyNumberFormat="1" applyFont="1" applyBorder="1" applyAlignment="1">
      <alignment horizontal="center"/>
    </xf>
    <xf numFmtId="43" fontId="18" fillId="0" borderId="30" xfId="0" applyNumberFormat="1" applyFont="1" applyBorder="1" applyAlignment="1">
      <alignment horizontal="center"/>
    </xf>
    <xf numFmtId="43" fontId="18" fillId="0" borderId="15" xfId="0" applyNumberFormat="1" applyFont="1" applyBorder="1" applyAlignment="1">
      <alignment horizontal="center"/>
    </xf>
    <xf numFmtId="43" fontId="4" fillId="0" borderId="21" xfId="0" applyNumberFormat="1" applyFont="1" applyFill="1" applyBorder="1" applyAlignment="1">
      <alignment horizontal="center"/>
    </xf>
    <xf numFmtId="43" fontId="4" fillId="0" borderId="20" xfId="0" applyNumberFormat="1" applyFont="1" applyFill="1" applyBorder="1" applyAlignment="1">
      <alignment horizontal="center"/>
    </xf>
    <xf numFmtId="43" fontId="17" fillId="0" borderId="21" xfId="0" applyNumberFormat="1" applyFont="1" applyBorder="1" applyAlignment="1">
      <alignment horizontal="center"/>
    </xf>
    <xf numFmtId="43" fontId="17" fillId="0" borderId="0" xfId="0" applyNumberFormat="1" applyFont="1" applyBorder="1" applyAlignment="1">
      <alignment horizontal="center"/>
    </xf>
    <xf numFmtId="43" fontId="17" fillId="0" borderId="20" xfId="0" applyNumberFormat="1" applyFont="1" applyBorder="1" applyAlignment="1">
      <alignment horizontal="center"/>
    </xf>
    <xf numFmtId="0" fontId="31" fillId="0" borderId="0" xfId="0" applyFont="1" applyBorder="1" applyAlignment="1">
      <alignment horizontal="left" wrapText="1"/>
    </xf>
    <xf numFmtId="7" fontId="4" fillId="0" borderId="21" xfId="0" applyNumberFormat="1" applyFont="1" applyBorder="1" applyAlignment="1">
      <alignment horizontal="center"/>
    </xf>
    <xf numFmtId="7" fontId="4" fillId="0" borderId="20" xfId="0" applyNumberFormat="1" applyFont="1" applyBorder="1" applyAlignment="1">
      <alignment horizontal="center"/>
    </xf>
    <xf numFmtId="7" fontId="17" fillId="0" borderId="22" xfId="0" applyNumberFormat="1" applyFont="1" applyBorder="1" applyAlignment="1">
      <alignment horizontal="center"/>
    </xf>
    <xf numFmtId="7" fontId="17" fillId="0" borderId="30" xfId="0" applyNumberFormat="1" applyFont="1" applyBorder="1" applyAlignment="1">
      <alignment horizontal="center"/>
    </xf>
    <xf numFmtId="7" fontId="17" fillId="0" borderId="15" xfId="0" applyNumberFormat="1" applyFont="1" applyBorder="1" applyAlignment="1">
      <alignment horizontal="center"/>
    </xf>
    <xf numFmtId="7" fontId="4" fillId="0" borderId="20" xfId="0" applyNumberFormat="1" applyFont="1" applyFill="1" applyBorder="1" applyAlignment="1">
      <alignment horizontal="center"/>
    </xf>
    <xf numFmtId="0" fontId="18" fillId="0" borderId="30" xfId="0" applyFont="1" applyBorder="1" applyAlignment="1">
      <alignment horizontal="center"/>
    </xf>
    <xf numFmtId="0" fontId="18" fillId="0" borderId="15" xfId="0" applyFont="1" applyBorder="1" applyAlignment="1">
      <alignment horizontal="center"/>
    </xf>
    <xf numFmtId="0" fontId="18" fillId="0" borderId="22"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3" fillId="0" borderId="0" xfId="0" applyFont="1" applyAlignment="1">
      <alignment horizontal="left" vertical="center" wrapText="1"/>
    </xf>
    <xf numFmtId="0" fontId="14" fillId="0" borderId="0" xfId="0" applyNumberFormat="1" applyFont="1" applyAlignment="1">
      <alignment horizontal="left" vertical="center" wrapText="1"/>
    </xf>
    <xf numFmtId="0" fontId="0" fillId="0" borderId="0" xfId="0" applyNumberFormat="1" applyAlignment="1">
      <alignment horizontal="left" vertical="center" wrapText="1"/>
    </xf>
    <xf numFmtId="0" fontId="64" fillId="0" borderId="0" xfId="0" applyFont="1" applyAlignment="1">
      <alignment horizontal="center" vertical="center" wrapText="1"/>
    </xf>
    <xf numFmtId="7" fontId="4" fillId="0" borderId="0" xfId="0" applyNumberFormat="1" applyFont="1" applyFill="1" applyAlignment="1">
      <alignment horizontal="right"/>
    </xf>
    <xf numFmtId="7" fontId="50"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40" fillId="0" borderId="0" xfId="0" applyNumberFormat="1" applyFont="1" applyBorder="1" applyAlignment="1">
      <alignment horizontal="center"/>
    </xf>
    <xf numFmtId="170" fontId="40"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523875</xdr:rowOff>
    </xdr:to>
    <xdr:sp>
      <xdr:nvSpPr>
        <xdr:cNvPr id="1" name="AutoShape 1"/>
        <xdr:cNvSpPr>
          <a:spLocks/>
        </xdr:cNvSpPr>
      </xdr:nvSpPr>
      <xdr:spPr>
        <a:xfrm>
          <a:off x="1362075" y="1009650"/>
          <a:ext cx="1238250" cy="64770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61975"/>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Q04%20FLUX%20ANALYSIS%20(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Dept\FINSTATE\2000\1Q00%20financial%20statemen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ncialDept\Financial%20Statements\4Q2000f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nancialDept\FINSTATE\2001\4q2001\CODIFI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ICKSP\EXCEL\2002\3q02\03Q02F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nancialDept\Financial%20Statements\2002\3Q02\FINANCIAL%20STATEMENTS%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nancialDept\Financial%20Statements\2003\3Q03\FINANCIAL%20STATEMEN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nancialDept\Financial%20Statements\2003\2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nancialDept\FINSTATE\2002\FLUX%20ANALYSIS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2">
          <cell r="F52">
            <v>-3783158</v>
          </cell>
        </row>
        <row r="55">
          <cell r="F55">
            <v>0</v>
          </cell>
        </row>
        <row r="56">
          <cell r="F56">
            <v>0</v>
          </cell>
        </row>
        <row r="57">
          <cell r="F57">
            <v>-1490507</v>
          </cell>
        </row>
        <row r="58">
          <cell r="F58">
            <v>-1066928</v>
          </cell>
        </row>
        <row r="61">
          <cell r="F61">
            <v>0</v>
          </cell>
        </row>
        <row r="62">
          <cell r="F62">
            <v>0</v>
          </cell>
        </row>
        <row r="63">
          <cell r="F63">
            <v>-19657</v>
          </cell>
        </row>
        <row r="64">
          <cell r="F64">
            <v>-14844</v>
          </cell>
        </row>
        <row r="65">
          <cell r="G65">
            <v>-11049613</v>
          </cell>
        </row>
        <row r="104">
          <cell r="G104">
            <v>-6198399.7700000005</v>
          </cell>
        </row>
        <row r="121">
          <cell r="G121">
            <v>-1364184.0999999999</v>
          </cell>
        </row>
        <row r="131">
          <cell r="F131">
            <v>-2877.31</v>
          </cell>
        </row>
        <row r="132">
          <cell r="F132">
            <v>-8289.76</v>
          </cell>
        </row>
        <row r="133">
          <cell r="F133">
            <v>-15196.99</v>
          </cell>
        </row>
        <row r="134">
          <cell r="F134">
            <v>-62054.48</v>
          </cell>
        </row>
        <row r="135">
          <cell r="F135">
            <v>-175492.9</v>
          </cell>
        </row>
        <row r="136">
          <cell r="F136">
            <v>-181676.91</v>
          </cell>
        </row>
        <row r="148">
          <cell r="F148">
            <v>-1062.94</v>
          </cell>
        </row>
        <row r="149">
          <cell r="F149">
            <v>-21990.52</v>
          </cell>
        </row>
        <row r="150">
          <cell r="F150">
            <v>-20212.82</v>
          </cell>
        </row>
        <row r="151">
          <cell r="F151">
            <v>-35313.09</v>
          </cell>
        </row>
        <row r="157">
          <cell r="F157">
            <v>-333.28</v>
          </cell>
        </row>
        <row r="159">
          <cell r="G159">
            <v>-524501</v>
          </cell>
        </row>
        <row r="168">
          <cell r="F168">
            <v>-114.85</v>
          </cell>
        </row>
        <row r="169">
          <cell r="F169">
            <v>-3335.27</v>
          </cell>
        </row>
        <row r="170">
          <cell r="F170">
            <v>-9750.29</v>
          </cell>
        </row>
        <row r="171">
          <cell r="F171">
            <v>-21254.72</v>
          </cell>
        </row>
        <row r="172">
          <cell r="F172">
            <v>-75689.98</v>
          </cell>
        </row>
        <row r="173">
          <cell r="F173">
            <v>-82790.98</v>
          </cell>
        </row>
        <row r="182">
          <cell r="F182">
            <v>-46.03</v>
          </cell>
        </row>
        <row r="183">
          <cell r="F183">
            <v>-0.08</v>
          </cell>
        </row>
        <row r="184">
          <cell r="F184">
            <v>-681.38</v>
          </cell>
        </row>
        <row r="185">
          <cell r="F185">
            <v>-7532.13</v>
          </cell>
        </row>
        <row r="186">
          <cell r="F186">
            <v>-8717.78</v>
          </cell>
        </row>
        <row r="187">
          <cell r="F187">
            <v>-16092.33</v>
          </cell>
        </row>
        <row r="192">
          <cell r="F192">
            <v>-143.74</v>
          </cell>
        </row>
        <row r="193">
          <cell r="G193">
            <v>-226567.97999999998</v>
          </cell>
        </row>
        <row r="199">
          <cell r="G199">
            <v>-50113.97</v>
          </cell>
        </row>
        <row r="203">
          <cell r="G203">
            <v>-54430.45</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D294">
            <v>0</v>
          </cell>
          <cell r="F294">
            <v>0</v>
          </cell>
        </row>
        <row r="295">
          <cell r="D295">
            <v>0</v>
          </cell>
          <cell r="F295">
            <v>0</v>
          </cell>
        </row>
        <row r="296">
          <cell r="D296">
            <v>3288</v>
          </cell>
          <cell r="F296">
            <v>3288</v>
          </cell>
        </row>
        <row r="297">
          <cell r="D297">
            <v>-91475</v>
          </cell>
          <cell r="F297">
            <v>-91475</v>
          </cell>
        </row>
        <row r="298">
          <cell r="D298">
            <v>-4325157</v>
          </cell>
        </row>
        <row r="302">
          <cell r="F302">
            <v>0</v>
          </cell>
        </row>
        <row r="303">
          <cell r="D303">
            <v>0</v>
          </cell>
          <cell r="F303">
            <v>0</v>
          </cell>
        </row>
        <row r="304">
          <cell r="D304">
            <v>0</v>
          </cell>
          <cell r="F304">
            <v>0</v>
          </cell>
        </row>
        <row r="305">
          <cell r="D305">
            <v>791</v>
          </cell>
          <cell r="F305">
            <v>791</v>
          </cell>
        </row>
        <row r="306">
          <cell r="D306">
            <v>-27184</v>
          </cell>
          <cell r="F306">
            <v>-27184</v>
          </cell>
        </row>
        <row r="307">
          <cell r="D307">
            <v>-1219583</v>
          </cell>
        </row>
        <row r="313">
          <cell r="D313">
            <v>0</v>
          </cell>
        </row>
        <row r="314">
          <cell r="F314">
            <v>-1</v>
          </cell>
        </row>
        <row r="315">
          <cell r="D315">
            <v>19</v>
          </cell>
          <cell r="F315">
            <v>19</v>
          </cell>
        </row>
        <row r="316">
          <cell r="D316">
            <v>-16940</v>
          </cell>
        </row>
        <row r="317">
          <cell r="E317">
            <v>-5676242</v>
          </cell>
          <cell r="G317">
            <v>-5676242</v>
          </cell>
        </row>
        <row r="338">
          <cell r="E338">
            <v>-5376116</v>
          </cell>
          <cell r="G338">
            <v>-5376116</v>
          </cell>
        </row>
        <row r="343">
          <cell r="G343">
            <v>-27046.739999999998</v>
          </cell>
        </row>
        <row r="345">
          <cell r="E345">
            <v>-27758.719999999998</v>
          </cell>
        </row>
        <row r="347">
          <cell r="E347">
            <v>-900.9</v>
          </cell>
          <cell r="F347">
            <v>-900.9</v>
          </cell>
        </row>
        <row r="348">
          <cell r="G348">
            <v>-29950.73</v>
          </cell>
        </row>
        <row r="356">
          <cell r="E356">
            <v>450</v>
          </cell>
          <cell r="G356">
            <v>450</v>
          </cell>
        </row>
        <row r="357">
          <cell r="E357">
            <v>-29500.729999999996</v>
          </cell>
          <cell r="G357">
            <v>-29500.729999999996</v>
          </cell>
        </row>
        <row r="361">
          <cell r="F361">
            <v>0</v>
          </cell>
        </row>
        <row r="362">
          <cell r="F362">
            <v>0</v>
          </cell>
        </row>
        <row r="363">
          <cell r="F363">
            <v>0</v>
          </cell>
        </row>
        <row r="364">
          <cell r="F364">
            <v>0</v>
          </cell>
        </row>
        <row r="365">
          <cell r="D365">
            <v>59250</v>
          </cell>
          <cell r="F365">
            <v>59250</v>
          </cell>
        </row>
        <row r="366">
          <cell r="D366">
            <v>1500</v>
          </cell>
          <cell r="F366">
            <v>1500</v>
          </cell>
        </row>
        <row r="367">
          <cell r="D367">
            <v>1371608.06</v>
          </cell>
          <cell r="F367">
            <v>1371608.06</v>
          </cell>
        </row>
        <row r="368">
          <cell r="D368">
            <v>1626410.46</v>
          </cell>
          <cell r="F368">
            <v>1626410.46</v>
          </cell>
        </row>
        <row r="369">
          <cell r="D369">
            <v>8986.97</v>
          </cell>
        </row>
        <row r="370">
          <cell r="F370">
            <v>0</v>
          </cell>
        </row>
        <row r="371">
          <cell r="F371">
            <v>0</v>
          </cell>
        </row>
        <row r="372">
          <cell r="F372">
            <v>0</v>
          </cell>
        </row>
        <row r="373">
          <cell r="F373">
            <v>0</v>
          </cell>
        </row>
        <row r="374">
          <cell r="F374">
            <v>0</v>
          </cell>
        </row>
        <row r="375">
          <cell r="D375">
            <v>69982.57</v>
          </cell>
          <cell r="F375">
            <v>69982.57</v>
          </cell>
        </row>
        <row r="376">
          <cell r="D376">
            <v>628151.78</v>
          </cell>
          <cell r="F376">
            <v>628151.78</v>
          </cell>
        </row>
        <row r="377">
          <cell r="D377">
            <v>24643.51</v>
          </cell>
        </row>
        <row r="381">
          <cell r="F381">
            <v>0</v>
          </cell>
        </row>
        <row r="382">
          <cell r="D382">
            <v>0</v>
          </cell>
          <cell r="F382">
            <v>0</v>
          </cell>
        </row>
        <row r="383">
          <cell r="D383">
            <v>1229</v>
          </cell>
          <cell r="F383">
            <v>1229</v>
          </cell>
        </row>
        <row r="384">
          <cell r="E384">
            <v>3791762.3499999996</v>
          </cell>
          <cell r="G384">
            <v>3791762.3499999996</v>
          </cell>
        </row>
        <row r="396">
          <cell r="E396">
            <v>-100</v>
          </cell>
          <cell r="G396">
            <v>-100</v>
          </cell>
        </row>
        <row r="397">
          <cell r="D397">
            <v>-5674.74</v>
          </cell>
          <cell r="F397">
            <v>-5674.74</v>
          </cell>
        </row>
        <row r="398">
          <cell r="D398">
            <v>0</v>
          </cell>
          <cell r="F398">
            <v>0</v>
          </cell>
        </row>
        <row r="401">
          <cell r="E401">
            <v>-14.88</v>
          </cell>
        </row>
        <row r="402">
          <cell r="F402">
            <v>0</v>
          </cell>
        </row>
        <row r="403">
          <cell r="D403">
            <v>0</v>
          </cell>
          <cell r="F403">
            <v>0</v>
          </cell>
        </row>
        <row r="404">
          <cell r="D404">
            <v>-2211.35</v>
          </cell>
        </row>
        <row r="405">
          <cell r="E405">
            <v>-8000.969999999999</v>
          </cell>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E586">
            <v>-369.09999999999997</v>
          </cell>
          <cell r="F586">
            <v>-328.8</v>
          </cell>
        </row>
        <row r="587">
          <cell r="E587">
            <v>-11993.2</v>
          </cell>
        </row>
        <row r="588">
          <cell r="E588">
            <v>533610.0499999999</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E635">
            <v>12016.59</v>
          </cell>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06">
          <cell r="E1006">
            <v>932395.3699999998</v>
          </cell>
        </row>
        <row r="1024">
          <cell r="F1024">
            <v>0</v>
          </cell>
        </row>
        <row r="1029">
          <cell r="E1029">
            <v>172930.65000000002</v>
          </cell>
        </row>
        <row r="1033">
          <cell r="G1033">
            <v>52339.42</v>
          </cell>
        </row>
        <row r="1038">
          <cell r="E1038">
            <v>46955.560000000005</v>
          </cell>
        </row>
        <row r="1041">
          <cell r="D1041">
            <v>-15024.91</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 sheetId="6">
        <row r="11">
          <cell r="G11">
            <v>3187.0162542425687</v>
          </cell>
        </row>
        <row r="12">
          <cell r="G12">
            <v>0</v>
          </cell>
        </row>
        <row r="13">
          <cell r="G13">
            <v>0</v>
          </cell>
        </row>
        <row r="14">
          <cell r="B14">
            <v>980.5</v>
          </cell>
          <cell r="F14">
            <v>2206.5162542425687</v>
          </cell>
        </row>
        <row r="17">
          <cell r="G17">
            <v>784.0011709934828</v>
          </cell>
        </row>
        <row r="18">
          <cell r="G18">
            <v>254</v>
          </cell>
        </row>
        <row r="19">
          <cell r="G19">
            <v>0</v>
          </cell>
        </row>
        <row r="20">
          <cell r="B20">
            <v>982.14</v>
          </cell>
          <cell r="F20">
            <v>55.86117099348276</v>
          </cell>
        </row>
        <row r="23">
          <cell r="G23">
            <v>91951.54491713276</v>
          </cell>
        </row>
        <row r="24">
          <cell r="G24">
            <v>39257.225539555584</v>
          </cell>
        </row>
        <row r="25">
          <cell r="G25">
            <v>0</v>
          </cell>
        </row>
        <row r="26">
          <cell r="B26">
            <v>77522.81</v>
          </cell>
          <cell r="F26">
            <v>53685.97045668836</v>
          </cell>
        </row>
        <row r="29">
          <cell r="G29">
            <v>148427.46520776596</v>
          </cell>
        </row>
        <row r="30">
          <cell r="G30">
            <v>145662.99266162704</v>
          </cell>
        </row>
        <row r="31">
          <cell r="G31">
            <v>5062.278919433994</v>
          </cell>
        </row>
        <row r="32">
          <cell r="B32">
            <v>215145.31</v>
          </cell>
          <cell r="F32">
            <v>84007.416788827</v>
          </cell>
        </row>
        <row r="35">
          <cell r="G35">
            <v>1317.5117785888665</v>
          </cell>
        </row>
        <row r="36">
          <cell r="G36">
            <v>4367.833550659735</v>
          </cell>
        </row>
        <row r="37">
          <cell r="G37">
            <v>0</v>
          </cell>
        </row>
        <row r="38">
          <cell r="B38">
            <v>4432.92</v>
          </cell>
          <cell r="F38">
            <v>1252.4153292486014</v>
          </cell>
        </row>
        <row r="44">
          <cell r="F44">
            <v>141208.19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1">
        <row r="167">
          <cell r="F167">
            <v>-418.42</v>
          </cell>
        </row>
        <row r="464">
          <cell r="F464">
            <v>980.5</v>
          </cell>
        </row>
        <row r="465">
          <cell r="F465">
            <v>728.14</v>
          </cell>
        </row>
        <row r="466">
          <cell r="F466">
            <v>40871.79</v>
          </cell>
        </row>
        <row r="467">
          <cell r="F467">
            <v>87858.67</v>
          </cell>
        </row>
        <row r="468">
          <cell r="F468">
            <v>982.83</v>
          </cell>
        </row>
        <row r="471">
          <cell r="F471">
            <v>0</v>
          </cell>
        </row>
        <row r="472">
          <cell r="F472">
            <v>254</v>
          </cell>
        </row>
        <row r="473">
          <cell r="F473">
            <v>36651.02</v>
          </cell>
        </row>
        <row r="474">
          <cell r="F474">
            <v>122270.13</v>
          </cell>
        </row>
        <row r="475">
          <cell r="F475">
            <v>3450.09</v>
          </cell>
        </row>
        <row r="477">
          <cell r="F477">
            <v>0</v>
          </cell>
        </row>
        <row r="478">
          <cell r="F478">
            <v>0</v>
          </cell>
        </row>
        <row r="479">
          <cell r="F479">
            <v>0</v>
          </cell>
        </row>
        <row r="480">
          <cell r="F480">
            <v>5016.51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9" bestFit="1" customWidth="1"/>
    <col min="2" max="3" width="17.7109375" style="130" hidden="1" customWidth="1"/>
    <col min="4" max="5" width="17.7109375" style="130" customWidth="1"/>
    <col min="6" max="7" width="16.8515625" style="130" hidden="1" customWidth="1"/>
    <col min="8" max="9" width="16.8515625" style="130" customWidth="1"/>
    <col min="10" max="16384" width="9.140625" style="19" customWidth="1"/>
  </cols>
  <sheetData>
    <row r="1" spans="1:9" s="119" customFormat="1" ht="22.5">
      <c r="A1" s="913" t="s">
        <v>260</v>
      </c>
      <c r="B1" s="913"/>
      <c r="C1" s="913"/>
      <c r="D1" s="913"/>
      <c r="E1" s="913"/>
      <c r="F1" s="913"/>
      <c r="G1" s="913"/>
      <c r="H1" s="913"/>
      <c r="I1" s="913"/>
    </row>
    <row r="2" spans="1:7" s="21" customFormat="1" ht="18.75">
      <c r="A2" s="914"/>
      <c r="B2" s="914"/>
      <c r="C2" s="914"/>
      <c r="D2" s="914"/>
      <c r="E2" s="914"/>
      <c r="F2" s="392"/>
      <c r="G2" s="392"/>
    </row>
    <row r="3" spans="1:9" s="22" customFormat="1" ht="15.75">
      <c r="A3" s="915" t="s">
        <v>278</v>
      </c>
      <c r="B3" s="915"/>
      <c r="C3" s="915"/>
      <c r="D3" s="915"/>
      <c r="E3" s="915"/>
      <c r="F3" s="915"/>
      <c r="G3" s="915"/>
      <c r="H3" s="915"/>
      <c r="I3" s="915"/>
    </row>
    <row r="4" spans="1:9" s="22" customFormat="1" ht="15.75">
      <c r="A4" s="916" t="s">
        <v>153</v>
      </c>
      <c r="B4" s="916"/>
      <c r="C4" s="916"/>
      <c r="D4" s="916"/>
      <c r="E4" s="916"/>
      <c r="F4" s="916"/>
      <c r="G4" s="916"/>
      <c r="H4" s="916"/>
      <c r="I4" s="916"/>
    </row>
    <row r="5" spans="1:9" s="22" customFormat="1" ht="15.75">
      <c r="A5" s="736"/>
      <c r="B5" s="737"/>
      <c r="C5" s="737"/>
      <c r="D5" s="737"/>
      <c r="E5" s="737"/>
      <c r="F5" s="348"/>
      <c r="G5" s="348"/>
      <c r="H5" s="348"/>
      <c r="I5" s="348"/>
    </row>
    <row r="6" spans="1:7" ht="15">
      <c r="A6" s="23"/>
      <c r="B6" s="360"/>
      <c r="C6" s="360"/>
      <c r="F6" s="360"/>
      <c r="G6" s="360"/>
    </row>
    <row r="7" spans="2:9" ht="15">
      <c r="B7" s="738" t="s">
        <v>231</v>
      </c>
      <c r="C7" s="738"/>
      <c r="D7" s="738" t="s">
        <v>17</v>
      </c>
      <c r="E7" s="738"/>
      <c r="F7" s="738" t="s">
        <v>231</v>
      </c>
      <c r="G7" s="738"/>
      <c r="H7" s="738" t="s">
        <v>17</v>
      </c>
      <c r="I7" s="738"/>
    </row>
    <row r="8" spans="1:9" ht="15">
      <c r="A8" s="739"/>
      <c r="B8" s="582" t="s">
        <v>232</v>
      </c>
      <c r="C8" s="582"/>
      <c r="D8" s="582" t="s">
        <v>136</v>
      </c>
      <c r="E8" s="582"/>
      <c r="F8" s="582" t="s">
        <v>233</v>
      </c>
      <c r="G8" s="582"/>
      <c r="H8" s="582" t="s">
        <v>137</v>
      </c>
      <c r="I8" s="582"/>
    </row>
    <row r="9" spans="2:9" ht="15">
      <c r="B9" s="740"/>
      <c r="C9" s="741"/>
      <c r="D9" s="740"/>
      <c r="E9" s="742"/>
      <c r="F9" s="740"/>
      <c r="G9" s="742"/>
      <c r="H9" s="740"/>
      <c r="I9" s="742"/>
    </row>
    <row r="10" spans="1:9" ht="15">
      <c r="A10" s="739" t="s">
        <v>280</v>
      </c>
      <c r="B10" s="740"/>
      <c r="C10" s="742"/>
      <c r="D10" s="740"/>
      <c r="E10" s="742"/>
      <c r="F10" s="740"/>
      <c r="G10" s="742"/>
      <c r="H10" s="740"/>
      <c r="I10" s="742"/>
    </row>
    <row r="11" spans="1:9" ht="15">
      <c r="A11" s="739"/>
      <c r="B11" s="740"/>
      <c r="C11" s="742"/>
      <c r="D11" s="740"/>
      <c r="E11" s="742"/>
      <c r="F11" s="740"/>
      <c r="G11" s="742"/>
      <c r="H11" s="740"/>
      <c r="I11" s="742"/>
    </row>
    <row r="12" spans="1:9" ht="15">
      <c r="A12" s="19" t="s">
        <v>281</v>
      </c>
      <c r="C12" s="646">
        <f>'[7]Earned Incurred QTD-p5'!D16</f>
        <v>4977049</v>
      </c>
      <c r="D12" s="556"/>
      <c r="E12" s="646">
        <f>'[7]Earned Incurred YTD-p6'!D16</f>
        <v>14052348</v>
      </c>
      <c r="G12" s="646">
        <f>+'[6]Income Statement (pg 2)'!$C$12</f>
        <v>4336172</v>
      </c>
      <c r="I12" s="646">
        <f>+'[6]Income Statement (pg 2)'!$E$12</f>
        <v>12605846</v>
      </c>
    </row>
    <row r="13" spans="1:9" ht="15">
      <c r="A13" s="739"/>
      <c r="C13" s="552"/>
      <c r="E13" s="552"/>
      <c r="G13" s="552"/>
      <c r="I13" s="552"/>
    </row>
    <row r="14" spans="1:9" ht="15">
      <c r="A14" s="739" t="s">
        <v>282</v>
      </c>
      <c r="C14" s="552"/>
      <c r="E14" s="552"/>
      <c r="G14" s="552"/>
      <c r="I14" s="552"/>
    </row>
    <row r="15" spans="1:9" ht="15">
      <c r="A15" s="19" t="s">
        <v>283</v>
      </c>
      <c r="B15" s="130">
        <f>'[7]Earned Incurred QTD-p5'!D23</f>
        <v>3008827.2250000006</v>
      </c>
      <c r="C15" s="552"/>
      <c r="D15" s="130">
        <f>'[7]Earned Incurred YTD-p6'!D23</f>
        <v>10083053.040000003</v>
      </c>
      <c r="E15" s="552"/>
      <c r="F15" s="130">
        <f>+'[6]Income Statement (pg 2)'!$B$15</f>
        <v>3666364.3599999994</v>
      </c>
      <c r="G15" s="552"/>
      <c r="H15" s="130">
        <f>+'[6]Income Statement (pg 2)'!$D$15</f>
        <v>10954919.14</v>
      </c>
      <c r="I15" s="552"/>
    </row>
    <row r="16" spans="1:9" ht="15">
      <c r="A16" s="19" t="s">
        <v>284</v>
      </c>
      <c r="B16" s="130">
        <f>'[7]Earned Incurred QTD-p5'!D30</f>
        <v>391930.13999999996</v>
      </c>
      <c r="C16" s="552"/>
      <c r="D16" s="130">
        <f>'[7]Earned Incurred YTD-p6'!D30</f>
        <v>1203762.75</v>
      </c>
      <c r="E16" s="552"/>
      <c r="F16" s="130">
        <f>+'[6]Income Statement (pg 2)'!$B$16</f>
        <v>411228.76</v>
      </c>
      <c r="G16" s="552"/>
      <c r="H16" s="130">
        <f>+'[6]Income Statement (pg 2)'!$D$16</f>
        <v>1134850.71</v>
      </c>
      <c r="I16" s="552"/>
    </row>
    <row r="17" spans="1:9" ht="15">
      <c r="A17" s="19" t="s">
        <v>285</v>
      </c>
      <c r="B17" s="130">
        <f>'[7]Earned Incurred QTD-p5'!D37</f>
        <v>502893.80000000005</v>
      </c>
      <c r="C17" s="552"/>
      <c r="D17" s="130">
        <f>+'[7]Earned Incurred YTD-p6'!D37</f>
        <v>1421253.0999999999</v>
      </c>
      <c r="E17" s="552"/>
      <c r="F17" s="130">
        <f>+'[6]Income Statement (pg 2)'!$B$17:$B$17</f>
        <v>404349.55000000005</v>
      </c>
      <c r="G17" s="552"/>
      <c r="H17" s="130">
        <f>+'[6]Income Statement (pg 2)'!$D$17</f>
        <v>1195688.7</v>
      </c>
      <c r="I17" s="552"/>
    </row>
    <row r="18" spans="1:9" ht="15">
      <c r="A18" s="19" t="s">
        <v>286</v>
      </c>
      <c r="B18" s="130">
        <f>'[7]Earned Incurred QTD-p5'!C39+'[7]Earned Incurred QTD-p5'!C38+'[7]Earned Incurred QTD-p5'!C43</f>
        <v>1078138.9600000002</v>
      </c>
      <c r="C18" s="552"/>
      <c r="D18" s="130">
        <f>'[7]Earned Incurred YTD-p6'!C38+'[7]Earned Incurred YTD-p6'!C39+'[7]Earned Incurred YTD-p6'!C43</f>
        <v>3156457.869999998</v>
      </c>
      <c r="E18" s="552"/>
      <c r="F18" s="130">
        <f>+'[6]Income Statement (pg 2)'!$B$18</f>
        <v>859175.9900000002</v>
      </c>
      <c r="G18" s="552"/>
      <c r="H18" s="130">
        <f>+'[6]Income Statement (pg 2)'!$D$18</f>
        <v>2663959.2600000016</v>
      </c>
      <c r="I18" s="552"/>
    </row>
    <row r="19" spans="1:9" ht="15">
      <c r="A19" s="19" t="s">
        <v>100</v>
      </c>
      <c r="B19" s="148">
        <f>'[7]Earned Incurred QTD-p5'!D36</f>
        <v>19861.65</v>
      </c>
      <c r="C19" s="552"/>
      <c r="D19" s="148">
        <f>'[7]Earned Incurred YTD-p6'!D36</f>
        <v>77491.65</v>
      </c>
      <c r="E19" s="552"/>
      <c r="F19" s="148">
        <f>+'[6]Income Statement (pg 2)'!$B$19</f>
        <v>11580</v>
      </c>
      <c r="G19" s="552"/>
      <c r="H19" s="148">
        <f>+'[6]Income Statement (pg 2)'!$D$19</f>
        <v>32840.51</v>
      </c>
      <c r="I19" s="552"/>
    </row>
    <row r="20" spans="1:9" ht="15">
      <c r="A20" s="19" t="s">
        <v>287</v>
      </c>
      <c r="C20" s="551">
        <f>SUM(B15:B19)</f>
        <v>5001651.775000001</v>
      </c>
      <c r="E20" s="551">
        <f>SUM(D15:D19)</f>
        <v>15942018.41</v>
      </c>
      <c r="G20" s="551">
        <f>SUM(F15:F19)</f>
        <v>5352698.659999999</v>
      </c>
      <c r="I20" s="551">
        <f>SUM(H15:H19)</f>
        <v>15982258.320000002</v>
      </c>
    </row>
    <row r="21" spans="3:9" ht="15">
      <c r="C21" s="552"/>
      <c r="E21" s="552"/>
      <c r="G21" s="552"/>
      <c r="I21" s="552"/>
    </row>
    <row r="22" spans="1:9" ht="15">
      <c r="A22" s="19" t="s">
        <v>392</v>
      </c>
      <c r="C22" s="551">
        <f>C12-C20</f>
        <v>-24602.775000001304</v>
      </c>
      <c r="E22" s="551">
        <f>E12-E20</f>
        <v>-1889670.4100000001</v>
      </c>
      <c r="G22" s="551">
        <f>G12-G20</f>
        <v>-1016526.6599999992</v>
      </c>
      <c r="I22" s="551">
        <f>I12-I20</f>
        <v>-3376412.320000002</v>
      </c>
    </row>
    <row r="23" spans="1:9" ht="15">
      <c r="A23" s="739"/>
      <c r="C23" s="552"/>
      <c r="E23" s="552"/>
      <c r="G23" s="552"/>
      <c r="I23" s="552"/>
    </row>
    <row r="24" spans="1:9" ht="15">
      <c r="A24" s="739" t="s">
        <v>288</v>
      </c>
      <c r="C24" s="552"/>
      <c r="E24" s="552"/>
      <c r="G24" s="552"/>
      <c r="I24" s="552"/>
    </row>
    <row r="25" spans="1:9" ht="15">
      <c r="A25" s="19" t="s">
        <v>289</v>
      </c>
      <c r="C25" s="552">
        <f>'[7]Earned Incurred QTD-p5'!D52</f>
        <v>26859.149999999994</v>
      </c>
      <c r="E25" s="552">
        <f>'[7]Earned Incurred YTD-p6'!D52</f>
        <v>88395.67</v>
      </c>
      <c r="G25" s="552">
        <f>+'[6]Income Statement (pg 2)'!$C$25</f>
        <v>52310.600000000006</v>
      </c>
      <c r="I25" s="552">
        <f>+'[6]Income Statement (pg 2)'!$E$25</f>
        <v>170480.6</v>
      </c>
    </row>
    <row r="26" spans="3:9" ht="15">
      <c r="C26" s="552"/>
      <c r="E26" s="552"/>
      <c r="G26" s="552"/>
      <c r="I26" s="552"/>
    </row>
    <row r="27" spans="1:9" ht="15.75" thickBot="1">
      <c r="A27" s="19" t="s">
        <v>393</v>
      </c>
      <c r="C27" s="553">
        <f>C22+C25</f>
        <v>2256.3749999986903</v>
      </c>
      <c r="E27" s="553">
        <f>E22+E25</f>
        <v>-1801274.7400000002</v>
      </c>
      <c r="G27" s="553">
        <f>G22+G25</f>
        <v>-964216.0599999992</v>
      </c>
      <c r="I27" s="553">
        <f>I22+I25</f>
        <v>-3205931.720000002</v>
      </c>
    </row>
    <row r="28" spans="1:9" ht="15">
      <c r="A28" s="739"/>
      <c r="C28" s="743"/>
      <c r="E28" s="552"/>
      <c r="G28" s="743"/>
      <c r="I28" s="552"/>
    </row>
    <row r="29" spans="1:9" ht="15">
      <c r="A29" s="739" t="s">
        <v>276</v>
      </c>
      <c r="C29" s="552"/>
      <c r="E29" s="552"/>
      <c r="G29" s="552"/>
      <c r="I29" s="552"/>
    </row>
    <row r="30" spans="1:9" ht="15">
      <c r="A30" s="19" t="s">
        <v>290</v>
      </c>
      <c r="C30" s="552">
        <f>'[8]Balance Sheet-p1'!$E$45</f>
        <v>-11338276.419999996</v>
      </c>
      <c r="E30" s="552">
        <f>'[8]Income Statement-p2'!$E$30</f>
        <v>-9552178.5</v>
      </c>
      <c r="G30" s="552">
        <f>+'[6]Income Statement (pg 2)'!$C$30</f>
        <v>-7427828.95</v>
      </c>
      <c r="I30" s="552">
        <v>-5217179.38</v>
      </c>
    </row>
    <row r="31" spans="1:9" ht="15">
      <c r="A31" s="19" t="s">
        <v>394</v>
      </c>
      <c r="B31" s="130">
        <f>C27</f>
        <v>2256.3749999986903</v>
      </c>
      <c r="C31" s="552"/>
      <c r="D31" s="130">
        <f>+'[7]Earned Incurred YTD-p6'!D54</f>
        <v>-1801274.7400000002</v>
      </c>
      <c r="E31" s="552"/>
      <c r="F31" s="130">
        <f>G27</f>
        <v>-964216.0599999992</v>
      </c>
      <c r="G31" s="552"/>
      <c r="H31" s="130">
        <f>I27</f>
        <v>-3205931.720000002</v>
      </c>
      <c r="I31" s="552"/>
    </row>
    <row r="32" spans="1:9" ht="14.25" customHeight="1">
      <c r="A32" s="19" t="s">
        <v>291</v>
      </c>
      <c r="B32" s="148">
        <v>15024.93</v>
      </c>
      <c r="D32" s="130">
        <v>32458.12</v>
      </c>
      <c r="E32" s="552"/>
      <c r="F32" s="554">
        <f>+'[6]Income Statement (pg 2)'!$B$32</f>
        <v>16655</v>
      </c>
      <c r="G32" s="552"/>
      <c r="H32" s="130">
        <f>+'[6]Income Statement (pg 2)'!$D$32</f>
        <v>-287408.34</v>
      </c>
      <c r="I32" s="552"/>
    </row>
    <row r="33" spans="1:9" ht="15">
      <c r="A33" s="19" t="s">
        <v>69</v>
      </c>
      <c r="B33" s="130">
        <v>0</v>
      </c>
      <c r="D33" s="130">
        <f>-40790-4979.98-26-1710</f>
        <v>-47505.979999999996</v>
      </c>
      <c r="E33" s="552"/>
      <c r="F33" s="130">
        <v>0</v>
      </c>
      <c r="H33" s="555">
        <f>+'[6]Income Statement (pg 2)'!$D$33</f>
        <v>-25.57</v>
      </c>
      <c r="I33" s="552"/>
    </row>
    <row r="34" spans="1:9" ht="15">
      <c r="A34" s="19" t="s">
        <v>70</v>
      </c>
      <c r="B34" s="148">
        <v>0</v>
      </c>
      <c r="C34" s="552"/>
      <c r="D34" s="148">
        <v>0</v>
      </c>
      <c r="E34" s="552"/>
      <c r="F34" s="148" t="e">
        <f>+'[9]TB09-30-02(Final)'!I931</f>
        <v>#REF!</v>
      </c>
      <c r="G34" s="552"/>
      <c r="H34" s="148">
        <f>+'[6]Income Statement (pg 2)'!$D$34</f>
        <v>335155</v>
      </c>
      <c r="I34" s="552"/>
    </row>
    <row r="35" spans="1:9" ht="15">
      <c r="A35" s="19" t="s">
        <v>292</v>
      </c>
      <c r="C35" s="552">
        <f>SUM(B31:B32)</f>
        <v>17281.30499999869</v>
      </c>
      <c r="E35" s="552">
        <f>SUM(D31:D32)</f>
        <v>-1768816.62</v>
      </c>
      <c r="G35" s="552">
        <f>SUM(F31:F32)</f>
        <v>-947561.0599999992</v>
      </c>
      <c r="I35" s="552">
        <f>SUM(H31:H34)</f>
        <v>-3158210.6300000018</v>
      </c>
    </row>
    <row r="36" spans="3:9" ht="15">
      <c r="C36" s="552"/>
      <c r="E36" s="552"/>
      <c r="G36" s="552"/>
      <c r="I36" s="552"/>
    </row>
    <row r="37" spans="1:9" ht="15.75" thickBot="1">
      <c r="A37" s="119" t="s">
        <v>234</v>
      </c>
      <c r="C37" s="642">
        <f>C30+C35</f>
        <v>-11320995.114999998</v>
      </c>
      <c r="D37" s="556"/>
      <c r="E37" s="642">
        <f>E30+E35</f>
        <v>-11320995.120000001</v>
      </c>
      <c r="G37" s="642">
        <f>G30+G35</f>
        <v>-8375390.01</v>
      </c>
      <c r="H37" s="556"/>
      <c r="I37" s="642">
        <f>I30+I35</f>
        <v>-8375390.010000002</v>
      </c>
    </row>
    <row r="38" spans="2:9" s="15" customFormat="1" ht="15.75" thickTop="1">
      <c r="B38" s="259"/>
      <c r="C38" s="259"/>
      <c r="D38" s="365"/>
      <c r="E38" s="259"/>
      <c r="F38" s="130"/>
      <c r="G38" s="130"/>
      <c r="H38" s="130"/>
      <c r="I38" s="130"/>
    </row>
    <row r="40" ht="15">
      <c r="C40" s="365"/>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46"/>
  <sheetViews>
    <sheetView zoomScale="75" zoomScaleNormal="75" workbookViewId="0" topLeftCell="A26">
      <selection activeCell="A45" sqref="A1:G46"/>
    </sheetView>
  </sheetViews>
  <sheetFormatPr defaultColWidth="9.140625" defaultRowHeight="12.75"/>
  <cols>
    <col min="1" max="1" width="41.28125" style="3" customWidth="1"/>
    <col min="2" max="3" width="18.7109375" style="175" customWidth="1"/>
    <col min="4" max="5" width="18.00390625" style="175" customWidth="1"/>
    <col min="6" max="6" width="17.421875" style="175" customWidth="1"/>
    <col min="7" max="7" width="17.00390625" style="175" customWidth="1"/>
    <col min="8" max="8" width="13.421875" style="3" bestFit="1" customWidth="1"/>
    <col min="9" max="16384" width="9.140625" style="3" customWidth="1"/>
  </cols>
  <sheetData>
    <row r="1" spans="1:7" s="260" customFormat="1" ht="26.25">
      <c r="A1" s="477" t="s">
        <v>260</v>
      </c>
      <c r="B1" s="478"/>
      <c r="C1" s="478"/>
      <c r="D1" s="478"/>
      <c r="E1" s="478"/>
      <c r="F1" s="478"/>
      <c r="G1" s="479"/>
    </row>
    <row r="2" spans="1:7" s="100" customFormat="1" ht="18" customHeight="1">
      <c r="A2" s="480"/>
      <c r="B2" s="481"/>
      <c r="C2" s="481"/>
      <c r="D2" s="481"/>
      <c r="E2" s="481"/>
      <c r="F2" s="481"/>
      <c r="G2" s="482"/>
    </row>
    <row r="3" spans="1:7" s="100" customFormat="1" ht="18" customHeight="1">
      <c r="A3" s="483" t="s">
        <v>383</v>
      </c>
      <c r="B3" s="484"/>
      <c r="C3" s="484"/>
      <c r="D3" s="484"/>
      <c r="E3" s="484"/>
      <c r="F3" s="484"/>
      <c r="G3" s="482"/>
    </row>
    <row r="4" spans="1:7" s="15" customFormat="1" ht="15">
      <c r="A4" s="483" t="str">
        <f>+'Equity QTR-3'!A4:G4</f>
        <v>QTD PERIOD ENDED MARCH 31, 2004</v>
      </c>
      <c r="B4" s="484"/>
      <c r="C4" s="484"/>
      <c r="D4" s="484"/>
      <c r="E4" s="484"/>
      <c r="F4" s="484"/>
      <c r="G4" s="482"/>
    </row>
    <row r="5" spans="1:7" s="15" customFormat="1" ht="15.75">
      <c r="A5" s="485"/>
      <c r="B5" s="486"/>
      <c r="C5" s="486"/>
      <c r="D5" s="486"/>
      <c r="E5" s="486"/>
      <c r="F5" s="486"/>
      <c r="G5" s="486"/>
    </row>
    <row r="6" spans="1:7" s="15" customFormat="1" ht="31.5" customHeight="1">
      <c r="A6" s="487" t="s">
        <v>81</v>
      </c>
      <c r="B6" s="395" t="s">
        <v>197</v>
      </c>
      <c r="C6" s="395" t="s">
        <v>41</v>
      </c>
      <c r="D6" s="395" t="s">
        <v>45</v>
      </c>
      <c r="E6" s="395" t="s">
        <v>145</v>
      </c>
      <c r="F6" s="395" t="s">
        <v>218</v>
      </c>
      <c r="G6" s="671" t="s">
        <v>261</v>
      </c>
    </row>
    <row r="7" spans="1:7" ht="34.5" customHeight="1">
      <c r="A7" s="488" t="s">
        <v>384</v>
      </c>
      <c r="B7" s="394"/>
      <c r="C7" s="394"/>
      <c r="D7" s="394"/>
      <c r="E7" s="394"/>
      <c r="F7" s="394"/>
      <c r="G7" s="394"/>
    </row>
    <row r="8" spans="1:7" s="101" customFormat="1" ht="15">
      <c r="A8" s="393" t="s">
        <v>455</v>
      </c>
      <c r="B8" s="539">
        <f>-SUM('[1]TB03-31-04(Final)'!D298)</f>
        <v>4325157</v>
      </c>
      <c r="C8" s="539">
        <f>-SUM('[1]TB03-31-04(Final)'!D297)</f>
        <v>91475</v>
      </c>
      <c r="D8" s="539">
        <f>-SUM('[1]TB03-31-04(Final)'!D296)</f>
        <v>-3288</v>
      </c>
      <c r="E8" s="690">
        <f>-SUM('[1]TB03-31-04(Final)'!D295)</f>
        <v>0</v>
      </c>
      <c r="F8" s="690">
        <f>-SUM('[1]TB03-31-04(Final)'!D294)</f>
        <v>0</v>
      </c>
      <c r="G8" s="539">
        <f>SUM(B8:F8)</f>
        <v>4413344</v>
      </c>
    </row>
    <row r="9" spans="1:7" ht="15.75">
      <c r="A9" s="393" t="s">
        <v>399</v>
      </c>
      <c r="B9" s="129">
        <f>-SUM('[1]TB03-31-04(Final)'!D307)</f>
        <v>1219583</v>
      </c>
      <c r="C9" s="129">
        <f>-SUM('[1]TB03-31-04(Final)'!D306)</f>
        <v>27184</v>
      </c>
      <c r="D9" s="129">
        <f>-SUM('[1]TB03-31-04(Final)'!D305)</f>
        <v>-791</v>
      </c>
      <c r="E9" s="129">
        <f>-SUM('[1]TB03-31-04(Final)'!D304)</f>
        <v>0</v>
      </c>
      <c r="F9" s="129">
        <f>-SUM('[1]TB03-31-04(Final)'!D303)</f>
        <v>0</v>
      </c>
      <c r="G9" s="548">
        <f>SUM(B9:F9)</f>
        <v>1245976</v>
      </c>
    </row>
    <row r="10" spans="1:7" ht="15.75">
      <c r="A10" s="393" t="s">
        <v>400</v>
      </c>
      <c r="B10" s="129">
        <f>-'[1]TB03-31-04(Final)'!D316</f>
        <v>16940</v>
      </c>
      <c r="C10" s="129">
        <f>-'[1]TB03-31-04(Final)'!D315+1</f>
        <v>-18</v>
      </c>
      <c r="D10" s="129">
        <v>0</v>
      </c>
      <c r="E10" s="129">
        <f>-'[1]TB03-31-04(Final)'!D313</f>
        <v>0</v>
      </c>
      <c r="F10" s="129">
        <v>0</v>
      </c>
      <c r="G10" s="548">
        <f>SUM(B10:F10)</f>
        <v>16922</v>
      </c>
    </row>
    <row r="11" spans="1:7" s="5" customFormat="1" ht="16.5" thickBot="1">
      <c r="A11" s="489" t="s">
        <v>388</v>
      </c>
      <c r="B11" s="141">
        <f aca="true" t="shared" si="0" ref="B11:G11">SUM(B8:B10)</f>
        <v>5561680</v>
      </c>
      <c r="C11" s="141">
        <f t="shared" si="0"/>
        <v>118641</v>
      </c>
      <c r="D11" s="141">
        <f t="shared" si="0"/>
        <v>-4079</v>
      </c>
      <c r="E11" s="141">
        <f t="shared" si="0"/>
        <v>0</v>
      </c>
      <c r="F11" s="141">
        <f t="shared" si="0"/>
        <v>0</v>
      </c>
      <c r="G11" s="885">
        <f t="shared" si="0"/>
        <v>5676242</v>
      </c>
    </row>
    <row r="12" spans="1:7" s="5" customFormat="1" ht="16.5" thickTop="1">
      <c r="A12" s="393"/>
      <c r="B12" s="129"/>
      <c r="C12" s="129"/>
      <c r="D12" s="129"/>
      <c r="E12" s="129"/>
      <c r="F12" s="129"/>
      <c r="G12" s="175"/>
    </row>
    <row r="13" spans="1:7" s="5" customFormat="1" ht="28.5" customHeight="1">
      <c r="A13" s="488" t="s">
        <v>470</v>
      </c>
      <c r="B13" s="129"/>
      <c r="C13" s="129"/>
      <c r="D13" s="129"/>
      <c r="E13" s="129"/>
      <c r="F13" s="129"/>
      <c r="G13" s="129"/>
    </row>
    <row r="14" spans="1:7" s="5" customFormat="1" ht="15.75">
      <c r="A14" s="393" t="s">
        <v>455</v>
      </c>
      <c r="B14" s="129">
        <f>-'[1]TB03-31-04(Final)'!F52</f>
        <v>3783158</v>
      </c>
      <c r="C14" s="129">
        <f>-'[1]TB03-31-04(Final)'!F51</f>
        <v>4674519</v>
      </c>
      <c r="D14" s="129">
        <f>-'[1]TB03-31-04(Final)'!F50</f>
        <v>0</v>
      </c>
      <c r="E14" s="129">
        <f>-'[1]TB03-31-04(Final)'!F49</f>
        <v>0</v>
      </c>
      <c r="F14" s="129">
        <v>0</v>
      </c>
      <c r="G14" s="548">
        <f>SUM(B14:F14)</f>
        <v>8457677</v>
      </c>
    </row>
    <row r="15" spans="1:7" s="5" customFormat="1" ht="16.5" customHeight="1">
      <c r="A15" s="393" t="s">
        <v>15</v>
      </c>
      <c r="B15" s="129">
        <f>-'[1]TB03-31-04(Final)'!F58</f>
        <v>1066928</v>
      </c>
      <c r="C15" s="129">
        <f>-'[1]TB03-31-04(Final)'!F57</f>
        <v>1490507</v>
      </c>
      <c r="D15" s="129">
        <f>-'[1]TB03-31-04(Final)'!F56</f>
        <v>0</v>
      </c>
      <c r="E15" s="129">
        <f>-'[1]TB03-31-04(Final)'!F55</f>
        <v>0</v>
      </c>
      <c r="F15" s="129">
        <v>0</v>
      </c>
      <c r="G15" s="548">
        <f>SUM(B15:F15)</f>
        <v>2557435</v>
      </c>
    </row>
    <row r="16" spans="1:7" s="5" customFormat="1" ht="15.75">
      <c r="A16" s="393" t="s">
        <v>412</v>
      </c>
      <c r="B16" s="129">
        <f>-'[1]TB03-31-04(Final)'!F64</f>
        <v>14844</v>
      </c>
      <c r="C16" s="129">
        <f>-'[1]TB03-31-04(Final)'!F63</f>
        <v>19657</v>
      </c>
      <c r="D16" s="129">
        <f>-'[1]TB03-31-04(Final)'!F62</f>
        <v>0</v>
      </c>
      <c r="E16" s="129">
        <f>-'[1]TB03-31-04(Final)'!F61</f>
        <v>0</v>
      </c>
      <c r="F16" s="129">
        <v>0</v>
      </c>
      <c r="G16" s="884">
        <f>SUM(B16:F16)</f>
        <v>34501</v>
      </c>
    </row>
    <row r="17" spans="1:7" s="5" customFormat="1" ht="16.5" thickBot="1">
      <c r="A17" s="489" t="s">
        <v>388</v>
      </c>
      <c r="B17" s="141">
        <f>SUM(B14:B16)</f>
        <v>4864930</v>
      </c>
      <c r="C17" s="141">
        <f>SUM(C14:C16)</f>
        <v>6184683</v>
      </c>
      <c r="D17" s="141">
        <f>SUM(D14:D16)</f>
        <v>0</v>
      </c>
      <c r="E17" s="141">
        <f>SUM(E14:E16)</f>
        <v>0</v>
      </c>
      <c r="F17" s="141">
        <v>0</v>
      </c>
      <c r="G17" s="885">
        <f>SUM(G14:G16)</f>
        <v>11049613</v>
      </c>
    </row>
    <row r="18" spans="1:7" s="5" customFormat="1" ht="16.5" thickTop="1">
      <c r="A18" s="393"/>
      <c r="B18" s="129"/>
      <c r="C18" s="129"/>
      <c r="D18" s="129"/>
      <c r="E18" s="129"/>
      <c r="F18" s="129"/>
      <c r="G18" s="175"/>
    </row>
    <row r="19" spans="1:7" s="5" customFormat="1" ht="29.25">
      <c r="A19" s="488" t="s">
        <v>199</v>
      </c>
      <c r="B19" s="323"/>
      <c r="C19" s="323"/>
      <c r="D19" s="323"/>
      <c r="E19" s="323"/>
      <c r="F19" s="129"/>
      <c r="G19" s="129"/>
    </row>
    <row r="20" spans="1:7" s="5" customFormat="1" ht="15.75">
      <c r="A20" s="393" t="s">
        <v>455</v>
      </c>
      <c r="B20" s="129">
        <v>0</v>
      </c>
      <c r="C20" s="129">
        <v>8106000</v>
      </c>
      <c r="D20" s="129">
        <v>0</v>
      </c>
      <c r="E20" s="129">
        <v>0</v>
      </c>
      <c r="F20" s="129">
        <v>0</v>
      </c>
      <c r="G20" s="548">
        <f>SUM(B20:F20)</f>
        <v>8106000</v>
      </c>
    </row>
    <row r="21" spans="1:7" s="5" customFormat="1" ht="15.75">
      <c r="A21" s="393" t="s">
        <v>399</v>
      </c>
      <c r="B21" s="129">
        <v>0</v>
      </c>
      <c r="C21" s="129">
        <v>2607627</v>
      </c>
      <c r="D21" s="129">
        <v>0</v>
      </c>
      <c r="E21" s="129">
        <v>0</v>
      </c>
      <c r="F21" s="129">
        <v>0</v>
      </c>
      <c r="G21" s="548">
        <f>SUM(B21:F21)</f>
        <v>2607627</v>
      </c>
    </row>
    <row r="22" spans="1:7" s="5" customFormat="1" ht="15.75">
      <c r="A22" s="393" t="s">
        <v>400</v>
      </c>
      <c r="B22" s="129">
        <v>0</v>
      </c>
      <c r="C22" s="129">
        <v>35860</v>
      </c>
      <c r="D22" s="129">
        <v>0</v>
      </c>
      <c r="E22" s="129">
        <v>0</v>
      </c>
      <c r="F22" s="129">
        <v>0</v>
      </c>
      <c r="G22" s="548">
        <f>SUM(B22:F22)</f>
        <v>35860</v>
      </c>
    </row>
    <row r="23" spans="1:7" s="5" customFormat="1" ht="16.5" thickBot="1">
      <c r="A23" s="489" t="s">
        <v>388</v>
      </c>
      <c r="B23" s="141">
        <f>SUM(B20:B22)</f>
        <v>0</v>
      </c>
      <c r="C23" s="141">
        <f>SUM(C20:C22)</f>
        <v>10749487</v>
      </c>
      <c r="D23" s="141">
        <f>SUM(D20:D22)</f>
        <v>0</v>
      </c>
      <c r="E23" s="141">
        <f>SUM(E20:E22)</f>
        <v>0</v>
      </c>
      <c r="F23" s="141">
        <f>SUM(F20:F22)</f>
        <v>0</v>
      </c>
      <c r="G23" s="132">
        <f>SUM(C23:F23)</f>
        <v>10749487</v>
      </c>
    </row>
    <row r="24" spans="1:7" s="311" customFormat="1" ht="16.5" thickTop="1">
      <c r="A24" s="490"/>
      <c r="B24" s="868"/>
      <c r="C24" s="868"/>
      <c r="D24" s="868"/>
      <c r="E24" s="869"/>
      <c r="F24" s="868"/>
      <c r="G24" s="362"/>
    </row>
    <row r="25" spans="1:7" s="5" customFormat="1" ht="15.75">
      <c r="A25" s="488" t="s">
        <v>389</v>
      </c>
      <c r="B25" s="129"/>
      <c r="C25" s="129"/>
      <c r="D25" s="129"/>
      <c r="E25" s="129"/>
      <c r="F25" s="129"/>
      <c r="G25" s="129"/>
    </row>
    <row r="26" spans="1:7" s="5" customFormat="1" ht="15.75">
      <c r="A26" s="393" t="s">
        <v>455</v>
      </c>
      <c r="B26" s="129">
        <f aca="true" t="shared" si="1" ref="B26:C28">B8-(B14-B20)</f>
        <v>541999</v>
      </c>
      <c r="C26" s="129">
        <f t="shared" si="1"/>
        <v>3522956</v>
      </c>
      <c r="D26" s="129">
        <f aca="true" t="shared" si="2" ref="D26:E28">D8-(D14-D20)</f>
        <v>-3288</v>
      </c>
      <c r="E26" s="129">
        <f t="shared" si="2"/>
        <v>0</v>
      </c>
      <c r="F26" s="129">
        <f>F8-(F14-F20)</f>
        <v>0</v>
      </c>
      <c r="G26" s="548">
        <f>SUM(B26:F26)</f>
        <v>4061667</v>
      </c>
    </row>
    <row r="27" spans="1:7" s="5" customFormat="1" ht="15.75">
      <c r="A27" s="393" t="s">
        <v>399</v>
      </c>
      <c r="B27" s="129">
        <f t="shared" si="1"/>
        <v>152655</v>
      </c>
      <c r="C27" s="129">
        <f t="shared" si="1"/>
        <v>1144304</v>
      </c>
      <c r="D27" s="129">
        <f t="shared" si="2"/>
        <v>-791</v>
      </c>
      <c r="E27" s="129">
        <f t="shared" si="2"/>
        <v>0</v>
      </c>
      <c r="F27" s="129">
        <f>F9-(F15-F21)</f>
        <v>0</v>
      </c>
      <c r="G27" s="548">
        <f>SUM(B27:F27)</f>
        <v>1296168</v>
      </c>
    </row>
    <row r="28" spans="1:7" s="5" customFormat="1" ht="15.75">
      <c r="A28" s="491" t="s">
        <v>400</v>
      </c>
      <c r="B28" s="548">
        <f t="shared" si="1"/>
        <v>2096</v>
      </c>
      <c r="C28" s="548">
        <f t="shared" si="1"/>
        <v>16185</v>
      </c>
      <c r="D28" s="548">
        <f t="shared" si="2"/>
        <v>0</v>
      </c>
      <c r="E28" s="548">
        <f t="shared" si="2"/>
        <v>0</v>
      </c>
      <c r="F28" s="129">
        <f>F10-(F16-F22)</f>
        <v>0</v>
      </c>
      <c r="G28" s="548">
        <f>SUM(B28:F28)</f>
        <v>18281</v>
      </c>
    </row>
    <row r="29" spans="1:7" s="5" customFormat="1" ht="16.5" thickBot="1">
      <c r="A29" s="489" t="s">
        <v>388</v>
      </c>
      <c r="B29" s="623">
        <f aca="true" t="shared" si="3" ref="B29:G29">SUM(B26:B28)</f>
        <v>696750</v>
      </c>
      <c r="C29" s="623">
        <f t="shared" si="3"/>
        <v>4683445</v>
      </c>
      <c r="D29" s="623">
        <f t="shared" si="3"/>
        <v>-4079</v>
      </c>
      <c r="E29" s="630">
        <f t="shared" si="3"/>
        <v>0</v>
      </c>
      <c r="F29" s="630">
        <f t="shared" si="3"/>
        <v>0</v>
      </c>
      <c r="G29" s="623">
        <f t="shared" si="3"/>
        <v>5376116</v>
      </c>
    </row>
    <row r="30" ht="16.5" thickTop="1"/>
    <row r="31" spans="1:7" ht="15.75" hidden="1">
      <c r="A31" s="960" t="s">
        <v>246</v>
      </c>
      <c r="B31" s="960"/>
      <c r="C31" s="961"/>
      <c r="D31" s="961"/>
      <c r="E31" s="961"/>
      <c r="F31" s="961"/>
      <c r="G31" s="961"/>
    </row>
    <row r="32" spans="1:7" ht="15.75" hidden="1">
      <c r="A32" s="961"/>
      <c r="B32" s="961"/>
      <c r="C32" s="961"/>
      <c r="D32" s="961"/>
      <c r="E32" s="961"/>
      <c r="F32" s="961"/>
      <c r="G32" s="961"/>
    </row>
    <row r="33" ht="15.75" hidden="1"/>
    <row r="34" spans="1:7" s="873" customFormat="1" ht="15" customHeight="1">
      <c r="A34" s="959" t="s">
        <v>471</v>
      </c>
      <c r="B34" s="959"/>
      <c r="C34" s="959"/>
      <c r="D34" s="959"/>
      <c r="E34" s="959"/>
      <c r="F34" s="959"/>
      <c r="G34" s="959"/>
    </row>
    <row r="35" spans="1:7" s="873" customFormat="1" ht="12.75">
      <c r="A35" s="959"/>
      <c r="B35" s="959"/>
      <c r="C35" s="959"/>
      <c r="D35" s="959"/>
      <c r="E35" s="959"/>
      <c r="F35" s="959"/>
      <c r="G35" s="959"/>
    </row>
    <row r="36" spans="1:7" s="873" customFormat="1" ht="12.75">
      <c r="A36" s="959"/>
      <c r="B36" s="959"/>
      <c r="C36" s="959"/>
      <c r="D36" s="959"/>
      <c r="E36" s="959"/>
      <c r="F36" s="959"/>
      <c r="G36" s="959"/>
    </row>
    <row r="37" spans="1:7" s="873" customFormat="1" ht="12.75">
      <c r="A37" s="872"/>
      <c r="B37" s="872"/>
      <c r="C37" s="872"/>
      <c r="D37" s="872"/>
      <c r="E37" s="872"/>
      <c r="F37" s="872"/>
      <c r="G37" s="872"/>
    </row>
    <row r="38" spans="2:7" s="873" customFormat="1" ht="12" customHeight="1">
      <c r="B38" s="962" t="s">
        <v>442</v>
      </c>
      <c r="C38" s="962" t="s">
        <v>474</v>
      </c>
      <c r="E38" s="874"/>
      <c r="F38" s="962" t="s">
        <v>442</v>
      </c>
      <c r="G38" s="962" t="s">
        <v>474</v>
      </c>
    </row>
    <row r="39" spans="1:7" s="873" customFormat="1" ht="12" customHeight="1">
      <c r="A39" s="905" t="s">
        <v>326</v>
      </c>
      <c r="B39" s="962"/>
      <c r="C39" s="962"/>
      <c r="E39" s="875" t="s">
        <v>326</v>
      </c>
      <c r="F39" s="962"/>
      <c r="G39" s="962"/>
    </row>
    <row r="40" spans="1:7" s="873" customFormat="1" ht="12" customHeight="1">
      <c r="A40" s="895" t="s">
        <v>481</v>
      </c>
      <c r="B40" s="895">
        <v>1343200</v>
      </c>
      <c r="C40" s="895">
        <f>SUM(B40:B40)</f>
        <v>1343200</v>
      </c>
      <c r="D40" s="876" t="s">
        <v>76</v>
      </c>
      <c r="E40" s="895">
        <v>516016</v>
      </c>
      <c r="F40" s="895">
        <v>1645690</v>
      </c>
      <c r="G40" s="895">
        <f>SUM(E40:F40)</f>
        <v>2161706</v>
      </c>
    </row>
    <row r="41" spans="1:7" s="873" customFormat="1" ht="12" customHeight="1">
      <c r="A41" s="895" t="s">
        <v>475</v>
      </c>
      <c r="B41" s="895">
        <v>1418672</v>
      </c>
      <c r="C41" s="895">
        <f>SUM(B41:B41)</f>
        <v>1418672</v>
      </c>
      <c r="D41" s="876"/>
      <c r="E41" s="895"/>
      <c r="F41" s="895"/>
      <c r="G41" s="895"/>
    </row>
    <row r="42" spans="1:7" s="873" customFormat="1" ht="12" customHeight="1">
      <c r="A42" s="895" t="s">
        <v>480</v>
      </c>
      <c r="B42" s="895">
        <v>1518349</v>
      </c>
      <c r="C42" s="895">
        <f>SUM(B42:B42)</f>
        <v>1518349</v>
      </c>
      <c r="D42" s="876"/>
      <c r="E42" s="895"/>
      <c r="F42" s="895"/>
      <c r="G42" s="895"/>
    </row>
    <row r="43" spans="1:7" s="873" customFormat="1" ht="12" customHeight="1">
      <c r="A43" s="895" t="s">
        <v>476</v>
      </c>
      <c r="B43" s="895">
        <v>1585267</v>
      </c>
      <c r="C43" s="895">
        <f>SUM(B43:B43)</f>
        <v>1585267</v>
      </c>
      <c r="D43" s="876"/>
      <c r="E43" s="895"/>
      <c r="F43" s="895"/>
      <c r="G43" s="895"/>
    </row>
    <row r="44" spans="1:8" s="873" customFormat="1" ht="12" customHeight="1">
      <c r="A44" s="876"/>
      <c r="B44" s="878"/>
      <c r="C44" s="878"/>
      <c r="D44" s="878"/>
      <c r="E44" s="876"/>
      <c r="F44" s="900"/>
      <c r="G44" s="900"/>
      <c r="H44" s="900"/>
    </row>
    <row r="45" spans="1:7" s="873" customFormat="1" ht="12.75">
      <c r="A45" s="959" t="s">
        <v>445</v>
      </c>
      <c r="B45" s="959"/>
      <c r="C45" s="959"/>
      <c r="D45" s="959"/>
      <c r="E45" s="959"/>
      <c r="F45" s="959"/>
      <c r="G45" s="959"/>
    </row>
    <row r="46" spans="1:7" s="873" customFormat="1" ht="12.75">
      <c r="A46" s="959"/>
      <c r="B46" s="959"/>
      <c r="C46" s="959"/>
      <c r="D46" s="959"/>
      <c r="E46" s="959"/>
      <c r="F46" s="959"/>
      <c r="G46" s="959"/>
    </row>
  </sheetData>
  <mergeCells count="7">
    <mergeCell ref="A45:G46"/>
    <mergeCell ref="A31:G32"/>
    <mergeCell ref="A34:G36"/>
    <mergeCell ref="G38:G39"/>
    <mergeCell ref="B38:B39"/>
    <mergeCell ref="F38:F39"/>
    <mergeCell ref="C38:C39"/>
  </mergeCells>
  <printOptions horizontalCentered="1" verticalCentered="1"/>
  <pageMargins left="0.75" right="0.75" top="0.5" bottom="0.5" header="0.5" footer="0.25"/>
  <pageSetup fitToHeight="1" fitToWidth="1" horizontalDpi="600" verticalDpi="600" orientation="landscape" scale="77" r:id="rId1"/>
  <headerFooter alignWithMargins="0">
    <oddFooter>&amp;CPage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3" customWidth="1"/>
    <col min="2" max="2" width="17.140625" style="3" customWidth="1"/>
    <col min="3" max="3" width="17.7109375" style="3" customWidth="1"/>
    <col min="4" max="5" width="17.421875" style="3" customWidth="1"/>
    <col min="6" max="6" width="18.28125" style="3" customWidth="1"/>
    <col min="7" max="7" width="17.00390625" style="3" customWidth="1"/>
    <col min="8" max="8" width="15.8515625" style="686" customWidth="1"/>
    <col min="9" max="9" width="11.421875" style="3" bestFit="1" customWidth="1"/>
    <col min="10" max="16384" width="9.140625" style="3" customWidth="1"/>
  </cols>
  <sheetData>
    <row r="1" spans="1:8" s="260" customFormat="1" ht="26.25">
      <c r="A1" s="492" t="s">
        <v>260</v>
      </c>
      <c r="B1" s="492"/>
      <c r="C1" s="492"/>
      <c r="D1" s="492"/>
      <c r="E1" s="492"/>
      <c r="F1" s="492"/>
      <c r="G1" s="493"/>
      <c r="H1" s="683"/>
    </row>
    <row r="2" spans="1:8" s="100" customFormat="1" ht="18" customHeight="1">
      <c r="A2" s="494"/>
      <c r="B2" s="495"/>
      <c r="C2" s="495"/>
      <c r="D2" s="495"/>
      <c r="E2" s="495"/>
      <c r="F2" s="495"/>
      <c r="G2" s="496"/>
      <c r="H2" s="684"/>
    </row>
    <row r="3" spans="1:8" s="100" customFormat="1" ht="18" customHeight="1">
      <c r="A3" s="497" t="s">
        <v>383</v>
      </c>
      <c r="B3" s="497"/>
      <c r="C3" s="497"/>
      <c r="D3" s="497"/>
      <c r="E3" s="497"/>
      <c r="F3" s="497"/>
      <c r="G3" s="496"/>
      <c r="H3" s="684"/>
    </row>
    <row r="4" spans="1:8" s="15" customFormat="1" ht="15">
      <c r="A4" s="497" t="str">
        <f>+'(8)Earned Incurred YTD6'!A5:D5</f>
        <v>YTD PERIOD MARCH 31st, 2004</v>
      </c>
      <c r="B4" s="497"/>
      <c r="C4" s="497"/>
      <c r="D4" s="497"/>
      <c r="E4" s="497"/>
      <c r="F4" s="497"/>
      <c r="G4" s="496"/>
      <c r="H4" s="685"/>
    </row>
    <row r="5" spans="1:8" s="15" customFormat="1" ht="15">
      <c r="A5" s="497"/>
      <c r="B5" s="497"/>
      <c r="C5" s="497"/>
      <c r="D5" s="497"/>
      <c r="E5" s="497"/>
      <c r="F5" s="497"/>
      <c r="G5" s="496"/>
      <c r="H5" s="685"/>
    </row>
    <row r="6" spans="1:8" s="15" customFormat="1" ht="15.75">
      <c r="A6" s="498"/>
      <c r="B6" s="498"/>
      <c r="C6" s="498"/>
      <c r="D6" s="498"/>
      <c r="E6" s="498"/>
      <c r="F6" s="498"/>
      <c r="G6" s="498"/>
      <c r="H6" s="685"/>
    </row>
    <row r="7" spans="1:8" s="15" customFormat="1" ht="29.25">
      <c r="A7" s="499"/>
      <c r="B7" s="500" t="s">
        <v>41</v>
      </c>
      <c r="C7" s="500" t="s">
        <v>45</v>
      </c>
      <c r="D7" s="500" t="s">
        <v>145</v>
      </c>
      <c r="E7" s="500" t="s">
        <v>221</v>
      </c>
      <c r="F7" s="500" t="s">
        <v>99</v>
      </c>
      <c r="G7" s="501" t="s">
        <v>261</v>
      </c>
      <c r="H7" s="685"/>
    </row>
    <row r="8" spans="1:7" ht="15.75">
      <c r="A8" s="502" t="s">
        <v>384</v>
      </c>
      <c r="B8" s="503"/>
      <c r="C8" s="503"/>
      <c r="D8" s="503"/>
      <c r="E8" s="503"/>
      <c r="F8" s="503"/>
      <c r="G8" s="503"/>
    </row>
    <row r="9" spans="1:8" s="101" customFormat="1" ht="15">
      <c r="A9" s="503" t="s">
        <v>455</v>
      </c>
      <c r="B9" s="535">
        <f>-SUM('[1]TB03-31-04(Final)'!F297)</f>
        <v>91475</v>
      </c>
      <c r="C9" s="535">
        <f>-SUM('[1]TB03-31-04(Final)'!F296)</f>
        <v>-3288</v>
      </c>
      <c r="D9" s="535">
        <f>-SUM('[1]TB03-31-04(Final)'!F295)</f>
        <v>0</v>
      </c>
      <c r="E9" s="627">
        <f>-SUM('[1]TB03-31-04(Final)'!F294)</f>
        <v>0</v>
      </c>
      <c r="F9" s="129">
        <f>-SUM('[1]TB03-31-04(Final)'!F293)</f>
        <v>0</v>
      </c>
      <c r="G9" s="622">
        <f>SUM(B9:F9)</f>
        <v>88187</v>
      </c>
      <c r="H9" s="687"/>
    </row>
    <row r="10" spans="1:8" ht="15.75">
      <c r="A10" s="503" t="s">
        <v>399</v>
      </c>
      <c r="B10" s="129">
        <f>-SUM('[1]TB03-31-04(Final)'!F306)</f>
        <v>27184</v>
      </c>
      <c r="C10" s="129">
        <f>-SUM('[1]TB03-31-04(Final)'!F305)</f>
        <v>-791</v>
      </c>
      <c r="D10" s="129">
        <f>-SUM('[1]TB03-31-04(Final)'!F304)</f>
        <v>0</v>
      </c>
      <c r="E10" s="129">
        <f>-SUM('[1]TB03-31-04(Final)'!F303)</f>
        <v>0</v>
      </c>
      <c r="F10" s="129">
        <f>-SUM('[1]TB03-31-04(Final)'!F302)</f>
        <v>0</v>
      </c>
      <c r="G10" s="625">
        <f>SUM(B10:F10)</f>
        <v>26393</v>
      </c>
      <c r="H10" s="687"/>
    </row>
    <row r="11" spans="1:22" ht="15.75">
      <c r="A11" s="503" t="s">
        <v>400</v>
      </c>
      <c r="B11" s="129">
        <f>-'[1]TB03-31-04(Final)'!F315</f>
        <v>-19</v>
      </c>
      <c r="C11" s="129">
        <f>-'[1]TB03-31-04(Final)'!F314</f>
        <v>1</v>
      </c>
      <c r="D11" s="129">
        <v>0</v>
      </c>
      <c r="E11" s="129" t="e">
        <f>-'[1]TB03-31-04(Final)'!F310</f>
        <v>#REF!</v>
      </c>
      <c r="F11" s="129" t="e">
        <f>-'[1]TB03-31-04(Final)'!F311</f>
        <v>#REF!</v>
      </c>
      <c r="G11" s="628" t="e">
        <f>SUM(B11:F11)</f>
        <v>#REF!</v>
      </c>
      <c r="H11" s="687"/>
      <c r="I11" s="102"/>
      <c r="J11" s="102"/>
      <c r="K11" s="102"/>
      <c r="L11" s="102"/>
      <c r="M11" s="102"/>
      <c r="N11" s="102"/>
      <c r="O11" s="102"/>
      <c r="P11" s="102"/>
      <c r="Q11" s="102"/>
      <c r="R11" s="102"/>
      <c r="S11" s="102"/>
      <c r="T11" s="102"/>
      <c r="U11" s="102"/>
      <c r="V11" s="102"/>
    </row>
    <row r="12" spans="1:22" s="5" customFormat="1" ht="16.5" thickBot="1">
      <c r="A12" s="504" t="s">
        <v>388</v>
      </c>
      <c r="B12" s="141">
        <f aca="true" t="shared" si="0" ref="B12:G12">SUM(B9:B11)</f>
        <v>118640</v>
      </c>
      <c r="C12" s="141">
        <f t="shared" si="0"/>
        <v>-4078</v>
      </c>
      <c r="D12" s="141">
        <f t="shared" si="0"/>
        <v>0</v>
      </c>
      <c r="E12" s="141" t="e">
        <f t="shared" si="0"/>
        <v>#REF!</v>
      </c>
      <c r="F12" s="141" t="e">
        <f t="shared" si="0"/>
        <v>#REF!</v>
      </c>
      <c r="G12" s="626" t="e">
        <f t="shared" si="0"/>
        <v>#REF!</v>
      </c>
      <c r="H12" s="310"/>
      <c r="I12" s="90"/>
      <c r="J12" s="90"/>
      <c r="K12" s="90"/>
      <c r="L12" s="90"/>
      <c r="M12" s="90"/>
      <c r="N12" s="90"/>
      <c r="O12" s="90"/>
      <c r="P12" s="90"/>
      <c r="Q12" s="90"/>
      <c r="R12" s="90"/>
      <c r="S12" s="90"/>
      <c r="T12" s="90"/>
      <c r="U12" s="90"/>
      <c r="V12" s="90"/>
    </row>
    <row r="13" spans="1:22" s="5" customFormat="1" ht="16.5" thickTop="1">
      <c r="A13" s="503"/>
      <c r="B13" s="129"/>
      <c r="C13" s="129"/>
      <c r="D13" s="129"/>
      <c r="E13" s="129"/>
      <c r="F13" s="129"/>
      <c r="G13" s="175"/>
      <c r="H13" s="257">
        <f>+'[1]TB03-31-04(Final)'!G317</f>
        <v>-5676242</v>
      </c>
      <c r="I13" s="103" t="e">
        <f>SUM(G9:G11)</f>
        <v>#REF!</v>
      </c>
      <c r="J13" s="90"/>
      <c r="K13" s="90"/>
      <c r="L13" s="90"/>
      <c r="M13" s="90"/>
      <c r="N13" s="90"/>
      <c r="O13" s="90"/>
      <c r="P13" s="90"/>
      <c r="Q13" s="90"/>
      <c r="R13" s="90"/>
      <c r="S13" s="90"/>
      <c r="T13" s="90"/>
      <c r="U13" s="90"/>
      <c r="V13" s="90"/>
    </row>
    <row r="14" spans="1:22" s="5" customFormat="1" ht="43.5">
      <c r="A14" s="502" t="s">
        <v>173</v>
      </c>
      <c r="B14" s="629"/>
      <c r="C14" s="629"/>
      <c r="D14" s="629"/>
      <c r="E14" s="629"/>
      <c r="F14" s="129"/>
      <c r="G14" s="129"/>
      <c r="H14" s="688"/>
      <c r="I14" s="90"/>
      <c r="J14" s="90"/>
      <c r="K14" s="90"/>
      <c r="L14" s="90"/>
      <c r="M14" s="90"/>
      <c r="N14" s="90"/>
      <c r="O14" s="90"/>
      <c r="P14" s="90"/>
      <c r="Q14" s="90"/>
      <c r="R14" s="90"/>
      <c r="S14" s="90"/>
      <c r="T14" s="90"/>
      <c r="U14" s="90"/>
      <c r="V14" s="90"/>
    </row>
    <row r="15" spans="1:22" s="5" customFormat="1" ht="15.75">
      <c r="A15" s="503" t="s">
        <v>455</v>
      </c>
      <c r="B15" s="129">
        <f>-'[1]TB03-31-04(Final)'!F51</f>
        <v>4674519</v>
      </c>
      <c r="C15" s="129">
        <f>-'[1]TB03-31-04(Final)'!F50</f>
        <v>0</v>
      </c>
      <c r="D15" s="129">
        <f>-'[1]TB03-31-04(Final)'!F49</f>
        <v>0</v>
      </c>
      <c r="E15" s="129" t="e">
        <f>-'[1]TB03-31-04(Final)'!F48</f>
        <v>#REF!</v>
      </c>
      <c r="F15" s="129">
        <v>0</v>
      </c>
      <c r="G15" s="625" t="e">
        <f>SUM(B15:F15)</f>
        <v>#REF!</v>
      </c>
      <c r="H15" s="310"/>
      <c r="I15" s="90"/>
      <c r="J15" s="90"/>
      <c r="K15" s="90"/>
      <c r="L15" s="90"/>
      <c r="M15" s="90"/>
      <c r="N15" s="90"/>
      <c r="O15" s="90"/>
      <c r="P15" s="90"/>
      <c r="Q15" s="90"/>
      <c r="R15" s="90"/>
      <c r="S15" s="90"/>
      <c r="T15" s="90"/>
      <c r="U15" s="90"/>
      <c r="V15" s="90"/>
    </row>
    <row r="16" spans="1:22" s="5" customFormat="1" ht="16.5" customHeight="1">
      <c r="A16" s="503" t="s">
        <v>399</v>
      </c>
      <c r="B16" s="129">
        <f>-'[1]TB03-31-04(Final)'!F57</f>
        <v>1490507</v>
      </c>
      <c r="C16" s="129">
        <f>-'[1]TB03-31-04(Final)'!F56</f>
        <v>0</v>
      </c>
      <c r="D16" s="129">
        <f>-'[1]TB03-31-04(Final)'!F55</f>
        <v>0</v>
      </c>
      <c r="E16" s="129" t="e">
        <f>-'[1]TB03-31-04(Final)'!F54</f>
        <v>#REF!</v>
      </c>
      <c r="F16" s="129" t="e">
        <f>-'[1]TB03-31-04(Final)'!F53</f>
        <v>#REF!</v>
      </c>
      <c r="G16" s="625" t="e">
        <f>SUM(B16:F16)</f>
        <v>#REF!</v>
      </c>
      <c r="H16" s="310"/>
      <c r="I16" s="90"/>
      <c r="J16" s="90"/>
      <c r="K16" s="90"/>
      <c r="L16" s="90"/>
      <c r="M16" s="90"/>
      <c r="N16" s="90"/>
      <c r="O16" s="90"/>
      <c r="P16" s="90"/>
      <c r="Q16" s="90"/>
      <c r="R16" s="90"/>
      <c r="S16" s="90"/>
      <c r="T16" s="90"/>
      <c r="U16" s="90"/>
      <c r="V16" s="90"/>
    </row>
    <row r="17" spans="1:22" s="5" customFormat="1" ht="15.75">
      <c r="A17" s="503" t="s">
        <v>400</v>
      </c>
      <c r="B17" s="129">
        <f>-'[1]TB03-31-04(Final)'!F63</f>
        <v>19657</v>
      </c>
      <c r="C17" s="129">
        <f>-'[1]TB03-31-04(Final)'!F62</f>
        <v>0</v>
      </c>
      <c r="D17" s="129">
        <f>-'[1]TB03-31-04(Final)'!F61</f>
        <v>0</v>
      </c>
      <c r="E17" s="129" t="e">
        <f>-'[1]TB03-31-04(Final)'!F60</f>
        <v>#REF!</v>
      </c>
      <c r="F17" s="129" t="e">
        <f>-'[1]TB03-31-04(Final)'!F59</f>
        <v>#REF!</v>
      </c>
      <c r="G17" s="625" t="e">
        <f>SUM(B17:F17)</f>
        <v>#REF!</v>
      </c>
      <c r="H17" s="310"/>
      <c r="I17" s="90"/>
      <c r="J17" s="90"/>
      <c r="K17" s="90"/>
      <c r="L17" s="90"/>
      <c r="M17" s="90"/>
      <c r="N17" s="90"/>
      <c r="O17" s="90"/>
      <c r="P17" s="90"/>
      <c r="Q17" s="90"/>
      <c r="R17" s="90"/>
      <c r="S17" s="90"/>
      <c r="T17" s="90"/>
      <c r="U17" s="90"/>
      <c r="V17" s="90"/>
    </row>
    <row r="18" spans="1:22" s="5" customFormat="1" ht="16.5" thickBot="1">
      <c r="A18" s="504" t="s">
        <v>388</v>
      </c>
      <c r="B18" s="141">
        <f aca="true" t="shared" si="1" ref="B18:G18">SUM(B15:B17)</f>
        <v>6184683</v>
      </c>
      <c r="C18" s="141">
        <f t="shared" si="1"/>
        <v>0</v>
      </c>
      <c r="D18" s="141">
        <f t="shared" si="1"/>
        <v>0</v>
      </c>
      <c r="E18" s="141" t="e">
        <f t="shared" si="1"/>
        <v>#REF!</v>
      </c>
      <c r="F18" s="141" t="e">
        <f t="shared" si="1"/>
        <v>#REF!</v>
      </c>
      <c r="G18" s="626" t="e">
        <f t="shared" si="1"/>
        <v>#REF!</v>
      </c>
      <c r="H18" s="310" t="e">
        <f>SUM(G15:G17)</f>
        <v>#REF!</v>
      </c>
      <c r="I18" s="90"/>
      <c r="J18" s="90"/>
      <c r="K18" s="90"/>
      <c r="L18" s="90"/>
      <c r="M18" s="90"/>
      <c r="N18" s="90"/>
      <c r="O18" s="90"/>
      <c r="P18" s="90"/>
      <c r="Q18" s="90"/>
      <c r="R18" s="90"/>
      <c r="S18" s="90"/>
      <c r="T18" s="90"/>
      <c r="U18" s="90"/>
      <c r="V18" s="90"/>
    </row>
    <row r="19" spans="1:22" s="5" customFormat="1" ht="16.5" thickTop="1">
      <c r="A19" s="503"/>
      <c r="B19" s="129"/>
      <c r="C19" s="129"/>
      <c r="D19" s="129"/>
      <c r="E19" s="129"/>
      <c r="F19" s="129"/>
      <c r="G19" s="323"/>
      <c r="H19" s="257" t="e">
        <f>+'[1]TB03-31-04(Final)'!G63</f>
        <v>#REF!</v>
      </c>
      <c r="I19" s="90"/>
      <c r="J19" s="90"/>
      <c r="K19" s="90"/>
      <c r="L19" s="90"/>
      <c r="M19" s="90"/>
      <c r="N19" s="90"/>
      <c r="O19" s="90"/>
      <c r="P19" s="90"/>
      <c r="Q19" s="90"/>
      <c r="R19" s="90"/>
      <c r="S19" s="90"/>
      <c r="T19" s="90"/>
      <c r="U19" s="90"/>
      <c r="V19" s="90"/>
    </row>
    <row r="20" spans="1:22" s="5" customFormat="1" ht="43.5">
      <c r="A20" s="502" t="s">
        <v>209</v>
      </c>
      <c r="B20" s="129"/>
      <c r="C20" s="129"/>
      <c r="D20" s="129"/>
      <c r="E20" s="129"/>
      <c r="F20" s="129"/>
      <c r="G20" s="129"/>
      <c r="H20" s="310"/>
      <c r="I20" s="90"/>
      <c r="J20" s="90"/>
      <c r="K20" s="90"/>
      <c r="L20" s="90"/>
      <c r="M20" s="90"/>
      <c r="N20" s="90"/>
      <c r="O20" s="90"/>
      <c r="P20" s="90"/>
      <c r="Q20" s="90"/>
      <c r="R20" s="90"/>
      <c r="S20" s="90"/>
      <c r="T20" s="90"/>
      <c r="U20" s="90"/>
      <c r="V20" s="90"/>
    </row>
    <row r="21" spans="1:22" s="5" customFormat="1" ht="15.75">
      <c r="A21" s="503" t="s">
        <v>455</v>
      </c>
      <c r="B21" s="129">
        <v>0</v>
      </c>
      <c r="C21" s="129">
        <v>6494180</v>
      </c>
      <c r="D21" s="129">
        <v>0</v>
      </c>
      <c r="E21" s="129">
        <v>0</v>
      </c>
      <c r="F21" s="129">
        <v>0</v>
      </c>
      <c r="G21" s="625">
        <f>SUM(B21:F21)</f>
        <v>6494180</v>
      </c>
      <c r="H21" s="310"/>
      <c r="I21" s="90"/>
      <c r="J21" s="90"/>
      <c r="K21" s="90"/>
      <c r="L21" s="90"/>
      <c r="M21" s="90"/>
      <c r="N21" s="90"/>
      <c r="O21" s="90"/>
      <c r="P21" s="90"/>
      <c r="Q21" s="90"/>
      <c r="R21" s="90"/>
      <c r="S21" s="90"/>
      <c r="T21" s="90"/>
      <c r="U21" s="90"/>
      <c r="V21" s="90"/>
    </row>
    <row r="22" spans="1:22" s="5" customFormat="1" ht="15.75">
      <c r="A22" s="503" t="s">
        <v>399</v>
      </c>
      <c r="B22" s="129">
        <v>0</v>
      </c>
      <c r="C22" s="129">
        <v>2362142</v>
      </c>
      <c r="D22" s="129">
        <v>0</v>
      </c>
      <c r="E22" s="129">
        <v>0</v>
      </c>
      <c r="F22" s="129">
        <v>0</v>
      </c>
      <c r="G22" s="625">
        <f>SUM(B22:F22)</f>
        <v>2362142</v>
      </c>
      <c r="H22" s="310"/>
      <c r="I22" s="90"/>
      <c r="J22" s="90"/>
      <c r="K22" s="90"/>
      <c r="L22" s="90"/>
      <c r="M22" s="90"/>
      <c r="N22" s="90"/>
      <c r="O22" s="90"/>
      <c r="P22" s="90"/>
      <c r="Q22" s="90"/>
      <c r="R22" s="90"/>
      <c r="S22" s="90"/>
      <c r="T22" s="90"/>
      <c r="U22" s="90"/>
      <c r="V22" s="90"/>
    </row>
    <row r="23" spans="1:22" s="5" customFormat="1" ht="15.75">
      <c r="A23" s="503" t="s">
        <v>400</v>
      </c>
      <c r="B23" s="129">
        <v>0</v>
      </c>
      <c r="C23" s="129">
        <v>40804</v>
      </c>
      <c r="D23" s="129">
        <v>0</v>
      </c>
      <c r="E23" s="129">
        <v>0</v>
      </c>
      <c r="F23" s="129">
        <v>0</v>
      </c>
      <c r="G23" s="625">
        <f>SUM(B23:F23)</f>
        <v>40804</v>
      </c>
      <c r="H23" s="310"/>
      <c r="I23" s="90"/>
      <c r="J23" s="90"/>
      <c r="K23" s="90"/>
      <c r="L23" s="90"/>
      <c r="M23" s="90"/>
      <c r="N23" s="90"/>
      <c r="O23" s="90"/>
      <c r="P23" s="90"/>
      <c r="Q23" s="90"/>
      <c r="R23" s="90"/>
      <c r="S23" s="90"/>
      <c r="T23" s="90"/>
      <c r="U23" s="90"/>
      <c r="V23" s="90"/>
    </row>
    <row r="24" spans="1:22" s="5" customFormat="1" ht="16.5" thickBot="1">
      <c r="A24" s="504" t="s">
        <v>388</v>
      </c>
      <c r="B24" s="141">
        <f aca="true" t="shared" si="2" ref="B24:G24">SUM(B21:B23)</f>
        <v>0</v>
      </c>
      <c r="C24" s="141">
        <f t="shared" si="2"/>
        <v>8897126</v>
      </c>
      <c r="D24" s="141">
        <f t="shared" si="2"/>
        <v>0</v>
      </c>
      <c r="E24" s="141">
        <f t="shared" si="2"/>
        <v>0</v>
      </c>
      <c r="F24" s="141">
        <f t="shared" si="2"/>
        <v>0</v>
      </c>
      <c r="G24" s="626">
        <f t="shared" si="2"/>
        <v>8897126</v>
      </c>
      <c r="H24" s="310" t="e">
        <f>+G24-G18</f>
        <v>#REF!</v>
      </c>
      <c r="I24" s="90"/>
      <c r="J24" s="90"/>
      <c r="K24" s="90"/>
      <c r="L24" s="90"/>
      <c r="M24" s="90"/>
      <c r="N24" s="90"/>
      <c r="O24" s="90"/>
      <c r="P24" s="90"/>
      <c r="Q24" s="90"/>
      <c r="R24" s="90"/>
      <c r="S24" s="90"/>
      <c r="T24" s="90"/>
      <c r="U24" s="90"/>
      <c r="V24" s="90"/>
    </row>
    <row r="25" spans="1:22" s="5" customFormat="1" ht="16.5" thickTop="1">
      <c r="A25" s="503"/>
      <c r="B25" s="129"/>
      <c r="C25" s="129"/>
      <c r="D25" s="129"/>
      <c r="E25" s="129"/>
      <c r="F25" s="129"/>
      <c r="G25" s="175"/>
      <c r="H25" s="103" t="e">
        <f>+H18-H24</f>
        <v>#REF!</v>
      </c>
      <c r="I25" s="90"/>
      <c r="J25" s="90"/>
      <c r="K25" s="90"/>
      <c r="L25" s="90"/>
      <c r="M25" s="90"/>
      <c r="N25" s="90"/>
      <c r="O25" s="90"/>
      <c r="P25" s="90"/>
      <c r="Q25" s="90"/>
      <c r="R25" s="90"/>
      <c r="S25" s="90"/>
      <c r="T25" s="90"/>
      <c r="U25" s="90"/>
      <c r="V25" s="90"/>
    </row>
    <row r="26" spans="1:22" s="5" customFormat="1" ht="15.75">
      <c r="A26" s="502" t="s">
        <v>389</v>
      </c>
      <c r="B26" s="129"/>
      <c r="C26" s="129"/>
      <c r="D26" s="129"/>
      <c r="E26" s="129"/>
      <c r="F26" s="129"/>
      <c r="G26" s="129"/>
      <c r="H26" s="310"/>
      <c r="I26" s="90"/>
      <c r="J26" s="90"/>
      <c r="K26" s="90"/>
      <c r="L26" s="90"/>
      <c r="M26" s="90"/>
      <c r="N26" s="90"/>
      <c r="O26" s="90"/>
      <c r="P26" s="90"/>
      <c r="Q26" s="90"/>
      <c r="R26" s="90"/>
      <c r="S26" s="90"/>
      <c r="T26" s="90"/>
      <c r="U26" s="90"/>
      <c r="V26" s="90"/>
    </row>
    <row r="27" spans="1:22" s="5" customFormat="1" ht="15.75">
      <c r="A27" s="503" t="s">
        <v>411</v>
      </c>
      <c r="B27" s="548">
        <f aca="true" t="shared" si="3" ref="B27:D29">B9-(B15-B21)</f>
        <v>-4583044</v>
      </c>
      <c r="C27" s="548">
        <f>C9-(C15-C21)</f>
        <v>6490892</v>
      </c>
      <c r="D27" s="548">
        <f t="shared" si="3"/>
        <v>0</v>
      </c>
      <c r="E27" s="129" t="e">
        <f aca="true" t="shared" si="4" ref="E27:F29">E9-(E15-E21)</f>
        <v>#REF!</v>
      </c>
      <c r="F27" s="548">
        <f t="shared" si="4"/>
        <v>0</v>
      </c>
      <c r="G27" s="625" t="e">
        <f>SUM(B27:F27)</f>
        <v>#REF!</v>
      </c>
      <c r="H27" s="310"/>
      <c r="I27" s="90"/>
      <c r="J27" s="90"/>
      <c r="K27" s="90"/>
      <c r="L27" s="90"/>
      <c r="M27" s="90"/>
      <c r="N27" s="90"/>
      <c r="O27" s="90"/>
      <c r="P27" s="90"/>
      <c r="Q27" s="90"/>
      <c r="R27" s="90"/>
      <c r="S27" s="90"/>
      <c r="T27" s="90"/>
      <c r="U27" s="90"/>
      <c r="V27" s="90"/>
    </row>
    <row r="28" spans="1:22" s="5" customFormat="1" ht="15.75">
      <c r="A28" s="503" t="s">
        <v>15</v>
      </c>
      <c r="B28" s="548">
        <f t="shared" si="3"/>
        <v>-1463323</v>
      </c>
      <c r="C28" s="548">
        <f>C10-(C16-C22)</f>
        <v>2361351</v>
      </c>
      <c r="D28" s="548">
        <f t="shared" si="3"/>
        <v>0</v>
      </c>
      <c r="E28" s="129" t="e">
        <f t="shared" si="4"/>
        <v>#REF!</v>
      </c>
      <c r="F28" s="548" t="e">
        <f t="shared" si="4"/>
        <v>#REF!</v>
      </c>
      <c r="G28" s="625" t="e">
        <f>SUM(B28:F28)</f>
        <v>#REF!</v>
      </c>
      <c r="H28" s="310"/>
      <c r="I28" s="90"/>
      <c r="J28" s="90"/>
      <c r="K28" s="90"/>
      <c r="L28" s="90"/>
      <c r="M28" s="90"/>
      <c r="N28" s="90"/>
      <c r="O28" s="90"/>
      <c r="P28" s="90"/>
      <c r="Q28" s="90"/>
      <c r="R28" s="90"/>
      <c r="S28" s="90"/>
      <c r="T28" s="90"/>
      <c r="U28" s="90"/>
      <c r="V28" s="90"/>
    </row>
    <row r="29" spans="1:22" s="5" customFormat="1" ht="15.75">
      <c r="A29" s="505" t="s">
        <v>412</v>
      </c>
      <c r="B29" s="548">
        <f t="shared" si="3"/>
        <v>-19676</v>
      </c>
      <c r="C29" s="548">
        <f>C11-(C17-C23)</f>
        <v>40805</v>
      </c>
      <c r="D29" s="548">
        <f t="shared" si="3"/>
        <v>0</v>
      </c>
      <c r="E29" s="129" t="e">
        <f t="shared" si="4"/>
        <v>#REF!</v>
      </c>
      <c r="F29" s="548" t="e">
        <f t="shared" si="4"/>
        <v>#REF!</v>
      </c>
      <c r="G29" s="625" t="e">
        <f>SUM(B29:F29)</f>
        <v>#REF!</v>
      </c>
      <c r="H29" s="310"/>
      <c r="I29" s="90"/>
      <c r="J29" s="90"/>
      <c r="K29" s="90"/>
      <c r="L29" s="90"/>
      <c r="M29" s="90"/>
      <c r="N29" s="90"/>
      <c r="O29" s="90"/>
      <c r="P29" s="90"/>
      <c r="Q29" s="90"/>
      <c r="R29" s="90"/>
      <c r="S29" s="90"/>
      <c r="T29" s="90"/>
      <c r="U29" s="90"/>
      <c r="V29" s="90"/>
    </row>
    <row r="30" spans="1:22" s="5" customFormat="1" ht="16.5" thickBot="1">
      <c r="A30" s="504" t="s">
        <v>388</v>
      </c>
      <c r="B30" s="623">
        <f aca="true" t="shared" si="5" ref="B30:G30">SUM(B27:B29)</f>
        <v>-6066043</v>
      </c>
      <c r="C30" s="623">
        <f t="shared" si="5"/>
        <v>8893048</v>
      </c>
      <c r="D30" s="623">
        <f t="shared" si="5"/>
        <v>0</v>
      </c>
      <c r="E30" s="623" t="e">
        <f t="shared" si="5"/>
        <v>#REF!</v>
      </c>
      <c r="F30" s="630" t="e">
        <f t="shared" si="5"/>
        <v>#REF!</v>
      </c>
      <c r="G30" s="624" t="e">
        <f t="shared" si="5"/>
        <v>#REF!</v>
      </c>
      <c r="H30" s="362">
        <f>+'[1]TB03-31-04(Final)'!G338</f>
        <v>-5376116</v>
      </c>
      <c r="I30" s="90"/>
      <c r="J30" s="90"/>
      <c r="K30" s="90"/>
      <c r="L30" s="90"/>
      <c r="M30" s="90"/>
      <c r="N30" s="90"/>
      <c r="O30" s="90"/>
      <c r="P30" s="90"/>
      <c r="Q30" s="90"/>
      <c r="R30" s="90"/>
      <c r="S30" s="90"/>
      <c r="T30" s="90"/>
      <c r="U30" s="90"/>
      <c r="V30" s="90"/>
    </row>
    <row r="31" spans="2:8" ht="16.5" thickTop="1">
      <c r="B31" s="174"/>
      <c r="C31" s="174"/>
      <c r="H31" s="689" t="e">
        <f>+G30+H30</f>
        <v>#REF!</v>
      </c>
    </row>
    <row r="32" spans="1:8" ht="15.75">
      <c r="A32" s="870"/>
      <c r="B32" s="871"/>
      <c r="C32" s="871"/>
      <c r="D32" s="871"/>
      <c r="E32" s="871"/>
      <c r="F32" s="871"/>
      <c r="G32" s="871"/>
      <c r="H32" s="871"/>
    </row>
    <row r="33" spans="1:8" s="873" customFormat="1" ht="15" customHeight="1">
      <c r="A33" s="959" t="s">
        <v>441</v>
      </c>
      <c r="B33" s="959"/>
      <c r="C33" s="959"/>
      <c r="D33" s="959"/>
      <c r="E33" s="959"/>
      <c r="F33" s="959"/>
      <c r="G33" s="959"/>
      <c r="H33" s="959"/>
    </row>
    <row r="34" spans="1:8" s="873" customFormat="1" ht="12.75">
      <c r="A34" s="959"/>
      <c r="B34" s="959"/>
      <c r="C34" s="959"/>
      <c r="D34" s="959"/>
      <c r="E34" s="959"/>
      <c r="F34" s="959"/>
      <c r="G34" s="959"/>
      <c r="H34" s="959"/>
    </row>
    <row r="35" spans="1:8" s="873" customFormat="1" ht="12.75">
      <c r="A35" s="959"/>
      <c r="B35" s="959"/>
      <c r="C35" s="959"/>
      <c r="D35" s="959"/>
      <c r="E35" s="959"/>
      <c r="F35" s="959"/>
      <c r="G35" s="959"/>
      <c r="H35" s="959"/>
    </row>
    <row r="36" spans="1:8" s="873" customFormat="1" ht="12.75">
      <c r="A36" s="872"/>
      <c r="B36" s="872"/>
      <c r="C36" s="872"/>
      <c r="D36" s="872"/>
      <c r="E36" s="872"/>
      <c r="F36" s="872"/>
      <c r="G36" s="872"/>
      <c r="H36" s="872"/>
    </row>
    <row r="37" spans="2:4" s="873" customFormat="1" ht="12" customHeight="1">
      <c r="B37" s="874"/>
      <c r="C37" s="962" t="s">
        <v>442</v>
      </c>
      <c r="D37" s="962" t="s">
        <v>443</v>
      </c>
    </row>
    <row r="38" spans="2:4" s="873" customFormat="1" ht="12" customHeight="1">
      <c r="B38" s="875" t="s">
        <v>326</v>
      </c>
      <c r="C38" s="962"/>
      <c r="D38" s="962"/>
    </row>
    <row r="39" spans="1:7" s="873" customFormat="1" ht="12" customHeight="1">
      <c r="A39" s="876" t="s">
        <v>444</v>
      </c>
      <c r="B39" s="879">
        <v>478783</v>
      </c>
      <c r="C39" s="879">
        <v>1343200</v>
      </c>
      <c r="D39" s="879">
        <f>B39+C39</f>
        <v>1821983</v>
      </c>
      <c r="E39" s="877"/>
      <c r="F39" s="877"/>
      <c r="G39" s="877"/>
    </row>
    <row r="40" spans="1:7" s="873" customFormat="1" ht="12" customHeight="1">
      <c r="A40" s="876" t="s">
        <v>34</v>
      </c>
      <c r="B40" s="880">
        <v>487924</v>
      </c>
      <c r="C40" s="880">
        <v>1418672</v>
      </c>
      <c r="D40" s="880">
        <f>B40+C40</f>
        <v>1906596</v>
      </c>
      <c r="E40" s="877"/>
      <c r="F40" s="877"/>
      <c r="G40" s="877"/>
    </row>
    <row r="41" spans="1:7" s="873" customFormat="1" ht="12" customHeight="1">
      <c r="A41" s="876" t="s">
        <v>212</v>
      </c>
      <c r="B41" s="880">
        <v>509815</v>
      </c>
      <c r="C41" s="880">
        <v>1518349</v>
      </c>
      <c r="D41" s="880">
        <f>B41+C41</f>
        <v>2028164</v>
      </c>
      <c r="E41" s="877"/>
      <c r="F41" s="877"/>
      <c r="G41" s="877"/>
    </row>
    <row r="42" spans="1:7" s="873" customFormat="1" ht="12" customHeight="1">
      <c r="A42" s="876" t="s">
        <v>2</v>
      </c>
      <c r="B42" s="880">
        <v>508338</v>
      </c>
      <c r="C42" s="880">
        <v>1585267</v>
      </c>
      <c r="D42" s="880">
        <f>B42+C42</f>
        <v>2093605</v>
      </c>
      <c r="E42" s="877"/>
      <c r="F42" s="877"/>
      <c r="G42" s="877"/>
    </row>
    <row r="43" spans="1:7" s="873" customFormat="1" ht="12" customHeight="1" thickBot="1">
      <c r="A43" s="876" t="s">
        <v>60</v>
      </c>
      <c r="B43" s="881">
        <f>SUM(B39:B42)</f>
        <v>1984860</v>
      </c>
      <c r="C43" s="881">
        <f>SUM(C39:C42)</f>
        <v>5865488</v>
      </c>
      <c r="D43" s="881">
        <f>SUM(D39:D42)</f>
        <v>7850348</v>
      </c>
      <c r="E43" s="877"/>
      <c r="F43" s="877"/>
      <c r="G43" s="877"/>
    </row>
    <row r="44" spans="1:7" s="873" customFormat="1" ht="12" customHeight="1" thickTop="1">
      <c r="A44" s="876"/>
      <c r="B44" s="878"/>
      <c r="C44" s="878"/>
      <c r="D44" s="878"/>
      <c r="E44" s="877"/>
      <c r="F44" s="877"/>
      <c r="G44" s="877"/>
    </row>
    <row r="45" spans="1:8" s="873" customFormat="1" ht="12.75">
      <c r="A45" s="959" t="s">
        <v>445</v>
      </c>
      <c r="B45" s="959"/>
      <c r="C45" s="959"/>
      <c r="D45" s="959"/>
      <c r="E45" s="959"/>
      <c r="F45" s="959"/>
      <c r="G45" s="959"/>
      <c r="H45" s="959"/>
    </row>
    <row r="46" spans="1:8" s="873" customFormat="1" ht="12.75">
      <c r="A46" s="959"/>
      <c r="B46" s="959"/>
      <c r="C46" s="959"/>
      <c r="D46" s="959"/>
      <c r="E46" s="959"/>
      <c r="F46" s="959"/>
      <c r="G46" s="959"/>
      <c r="H46" s="959"/>
    </row>
    <row r="47" spans="2:3" ht="15.75">
      <c r="B47" s="174"/>
      <c r="C47" s="174"/>
    </row>
    <row r="48" spans="2:3" ht="15.75">
      <c r="B48" s="174"/>
      <c r="C48" s="174"/>
    </row>
    <row r="49" spans="2:3" ht="15.75">
      <c r="B49" s="174"/>
      <c r="C49" s="174"/>
    </row>
    <row r="50" spans="2:3" ht="15.75">
      <c r="B50" s="174"/>
      <c r="C50" s="174"/>
    </row>
    <row r="51" spans="2:3" ht="15.75">
      <c r="B51" s="174"/>
      <c r="C51" s="174"/>
    </row>
    <row r="52" spans="2:3" ht="15.75">
      <c r="B52" s="174"/>
      <c r="C52" s="174"/>
    </row>
    <row r="53" spans="2:3" ht="15.75">
      <c r="B53" s="174"/>
      <c r="C53" s="174"/>
    </row>
    <row r="54" spans="2:3" ht="15.75">
      <c r="B54" s="174"/>
      <c r="C54" s="174"/>
    </row>
    <row r="55" spans="2:3" ht="15.75">
      <c r="B55" s="174"/>
      <c r="C55" s="174"/>
    </row>
    <row r="56" spans="2:3" ht="15.75">
      <c r="B56" s="174"/>
      <c r="C56" s="174"/>
    </row>
    <row r="57" spans="2:3" ht="15.75">
      <c r="B57" s="174"/>
      <c r="C57" s="174"/>
    </row>
    <row r="58" spans="2:3" ht="15.75">
      <c r="B58" s="174"/>
      <c r="C58" s="174"/>
    </row>
    <row r="59" spans="2:3" ht="15.75">
      <c r="B59" s="174"/>
      <c r="C59" s="174"/>
    </row>
    <row r="60" spans="2:3" ht="15.75">
      <c r="B60" s="174"/>
      <c r="C60" s="174"/>
    </row>
    <row r="61" spans="2:3" ht="15.75">
      <c r="B61" s="174"/>
      <c r="C61" s="174"/>
    </row>
    <row r="62" spans="2:3" ht="15.75">
      <c r="B62" s="174"/>
      <c r="C62" s="174"/>
    </row>
    <row r="63" spans="2:3" ht="15.75">
      <c r="B63" s="174"/>
      <c r="C63" s="174"/>
    </row>
    <row r="64" spans="2:3" ht="15.75">
      <c r="B64" s="174"/>
      <c r="C64" s="174"/>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K40"/>
  <sheetViews>
    <sheetView zoomScale="75" zoomScaleNormal="75" workbookViewId="0" topLeftCell="A6">
      <selection activeCell="A29" sqref="A29"/>
    </sheetView>
  </sheetViews>
  <sheetFormatPr defaultColWidth="9.140625" defaultRowHeight="12.75"/>
  <cols>
    <col min="1" max="1" width="47.421875" style="356" customWidth="1"/>
    <col min="2" max="3" width="18.57421875" style="660" customWidth="1"/>
    <col min="4" max="4" width="18.7109375" style="660" customWidth="1"/>
    <col min="5" max="6" width="18.57421875" style="666" customWidth="1"/>
    <col min="7" max="7" width="20.140625" style="666" customWidth="1"/>
    <col min="8" max="8" width="18.421875" style="356" customWidth="1"/>
    <col min="9" max="9" width="14.57421875" style="356" bestFit="1" customWidth="1"/>
    <col min="10" max="10" width="18.57421875" style="356" bestFit="1" customWidth="1"/>
    <col min="11" max="16384" width="9.140625" style="356" customWidth="1"/>
  </cols>
  <sheetData>
    <row r="1" spans="1:7" s="381" customFormat="1" ht="27.75">
      <c r="A1" s="506" t="s">
        <v>260</v>
      </c>
      <c r="B1" s="649"/>
      <c r="C1" s="649"/>
      <c r="D1" s="649"/>
      <c r="E1" s="650"/>
      <c r="F1" s="650"/>
      <c r="G1" s="651"/>
    </row>
    <row r="2" spans="1:7" ht="19.5" customHeight="1">
      <c r="A2" s="480"/>
      <c r="B2" s="652"/>
      <c r="C2" s="652"/>
      <c r="D2" s="652"/>
      <c r="E2" s="653"/>
      <c r="F2" s="653"/>
      <c r="G2" s="652"/>
    </row>
    <row r="3" spans="1:7" s="382" customFormat="1" ht="18.75">
      <c r="A3" s="508" t="s">
        <v>395</v>
      </c>
      <c r="B3" s="654"/>
      <c r="C3" s="654"/>
      <c r="D3" s="654"/>
      <c r="E3" s="655"/>
      <c r="F3" s="655"/>
      <c r="G3" s="652"/>
    </row>
    <row r="4" spans="1:7" s="382" customFormat="1" ht="18.75">
      <c r="A4" s="508" t="str">
        <f>+'Premiums QTD-5'!A4</f>
        <v>QTD PERIOD ENDED MARCH 31, 2004</v>
      </c>
      <c r="B4" s="654"/>
      <c r="C4" s="654"/>
      <c r="D4" s="654"/>
      <c r="E4" s="655"/>
      <c r="F4" s="655"/>
      <c r="G4" s="652"/>
    </row>
    <row r="5" spans="1:7" s="382" customFormat="1" ht="16.5">
      <c r="A5" s="509"/>
      <c r="B5" s="654"/>
      <c r="C5" s="654"/>
      <c r="D5" s="654"/>
      <c r="E5" s="652"/>
      <c r="F5" s="652"/>
      <c r="G5" s="656"/>
    </row>
    <row r="6" spans="1:7" ht="30" customHeight="1">
      <c r="A6" s="510" t="s">
        <v>81</v>
      </c>
      <c r="B6" s="657" t="s">
        <v>197</v>
      </c>
      <c r="C6" s="657" t="s">
        <v>41</v>
      </c>
      <c r="D6" s="657" t="s">
        <v>45</v>
      </c>
      <c r="E6" s="658" t="s">
        <v>145</v>
      </c>
      <c r="F6" s="658" t="s">
        <v>218</v>
      </c>
      <c r="G6" s="659" t="s">
        <v>261</v>
      </c>
    </row>
    <row r="7" spans="1:7" ht="34.5" customHeight="1">
      <c r="A7" s="511" t="s">
        <v>396</v>
      </c>
      <c r="E7" s="661"/>
      <c r="F7" s="661"/>
      <c r="G7" s="661"/>
    </row>
    <row r="8" spans="1:7" ht="15">
      <c r="A8" s="511" t="s">
        <v>397</v>
      </c>
      <c r="B8" s="662"/>
      <c r="C8" s="662"/>
      <c r="D8" s="662"/>
      <c r="E8" s="661"/>
      <c r="F8" s="661"/>
      <c r="G8" s="661"/>
    </row>
    <row r="9" spans="1:7" ht="15">
      <c r="A9" s="513" t="s">
        <v>398</v>
      </c>
      <c r="B9" s="539">
        <f>+'[1]TB03-31-04(Final)'!D369</f>
        <v>8986.97</v>
      </c>
      <c r="C9" s="539">
        <f>+'[1]TB03-31-04(Final)'!D368</f>
        <v>1626410.46</v>
      </c>
      <c r="D9" s="539">
        <f>+'[1]TB03-31-04(Final)'!D367+'[1]TB03-31-04(Final)'!D398</f>
        <v>1371608.06</v>
      </c>
      <c r="E9" s="539">
        <f>+'[1]TB03-31-04(Final)'!D366+'[1]TB03-31-04(Final)'!D397</f>
        <v>-4174.74</v>
      </c>
      <c r="F9" s="539">
        <f>+'[1]TB03-31-04(Final)'!D365+'[1]TB03-31-04(Final)'!E396</f>
        <v>59150</v>
      </c>
      <c r="G9" s="539">
        <f>SUM(B9:F9)-1</f>
        <v>3061979.75</v>
      </c>
    </row>
    <row r="10" spans="1:7" ht="15">
      <c r="A10" s="513" t="s">
        <v>399</v>
      </c>
      <c r="B10" s="291">
        <f>+'[1]TB03-31-04(Final)'!D377</f>
        <v>24643.51</v>
      </c>
      <c r="C10" s="291">
        <f>+'[1]TB03-31-04(Final)'!D376+'[1]TB03-31-04(Final)'!D404</f>
        <v>625940.43</v>
      </c>
      <c r="D10" s="291">
        <f>+'[1]TB03-31-04(Final)'!D375+'[1]TB03-31-04(Final)'!D403</f>
        <v>69982.57</v>
      </c>
      <c r="E10" s="291">
        <v>0</v>
      </c>
      <c r="F10" s="291">
        <f>+'[1]TB03-31-04(Final)'!E401</f>
        <v>-14.88</v>
      </c>
      <c r="G10" s="291">
        <f>SUM(B10:F10)</f>
        <v>720551.63</v>
      </c>
    </row>
    <row r="11" spans="1:7" ht="15">
      <c r="A11" s="513" t="s">
        <v>400</v>
      </c>
      <c r="B11" s="291">
        <v>0</v>
      </c>
      <c r="C11" s="291">
        <f>+'[1]TB03-31-04(Final)'!D383</f>
        <v>1229</v>
      </c>
      <c r="D11" s="291">
        <v>0</v>
      </c>
      <c r="E11" s="291">
        <v>0</v>
      </c>
      <c r="F11" s="291">
        <f>+'[1]TB03-31-04(Final)'!D382</f>
        <v>0</v>
      </c>
      <c r="G11" s="291">
        <f>SUM(B11:F11)</f>
        <v>1229</v>
      </c>
    </row>
    <row r="12" spans="1:7" ht="15.75" thickBot="1">
      <c r="A12" s="514" t="s">
        <v>388</v>
      </c>
      <c r="B12" s="631">
        <f>SUM(B9:B11)+1</f>
        <v>33631.479999999996</v>
      </c>
      <c r="C12" s="631">
        <f>SUM(C9:C11)-1</f>
        <v>2253578.89</v>
      </c>
      <c r="D12" s="631">
        <f>SUM(D9:D11)</f>
        <v>1441590.6300000001</v>
      </c>
      <c r="E12" s="632">
        <f>SUM(E9:E11)</f>
        <v>-4174.74</v>
      </c>
      <c r="F12" s="632">
        <f>SUM(F9:F11)</f>
        <v>59135.12</v>
      </c>
      <c r="G12" s="633">
        <f>SUM(G9:G11)+1</f>
        <v>3783761.38</v>
      </c>
    </row>
    <row r="13" spans="1:7" ht="15.75" thickTop="1">
      <c r="A13" s="513"/>
      <c r="B13" s="634"/>
      <c r="C13" s="634"/>
      <c r="D13" s="634"/>
      <c r="E13" s="291"/>
      <c r="F13" s="291"/>
      <c r="G13" s="291"/>
    </row>
    <row r="14" spans="1:7" ht="15">
      <c r="A14" s="511" t="s">
        <v>482</v>
      </c>
      <c r="B14" s="634"/>
      <c r="C14" s="634"/>
      <c r="D14" s="634"/>
      <c r="E14" s="291"/>
      <c r="F14" s="291"/>
      <c r="G14" s="291"/>
    </row>
    <row r="15" spans="1:7" ht="15">
      <c r="A15" s="513" t="s">
        <v>401</v>
      </c>
      <c r="B15" s="291">
        <f>197043.97-B21</f>
        <v>161500</v>
      </c>
      <c r="C15" s="291">
        <f>5782126.74-C21</f>
        <v>4739112.15</v>
      </c>
      <c r="D15" s="291">
        <f>473657.88-D21</f>
        <v>388216.64</v>
      </c>
      <c r="E15" s="291">
        <f>104945.74-E21</f>
        <v>86015</v>
      </c>
      <c r="F15" s="291">
        <f>114362.37-F21</f>
        <v>93733</v>
      </c>
      <c r="G15" s="291">
        <f>SUM(B15:F15)</f>
        <v>5468576.79</v>
      </c>
    </row>
    <row r="16" spans="1:7" ht="15">
      <c r="A16" s="513" t="s">
        <v>402</v>
      </c>
      <c r="B16" s="291">
        <f>38300.03-B22</f>
        <v>31391.239999999998</v>
      </c>
      <c r="C16" s="291">
        <f>665970.39-C22</f>
        <v>545838.67</v>
      </c>
      <c r="D16" s="291">
        <f>167852.27-D22</f>
        <v>137574.06999999998</v>
      </c>
      <c r="E16" s="291">
        <f>7343.7-E22</f>
        <v>6019</v>
      </c>
      <c r="F16" s="291">
        <v>0</v>
      </c>
      <c r="G16" s="291">
        <f>SUM(B16:F16)</f>
        <v>720822.98</v>
      </c>
    </row>
    <row r="17" spans="1:7" ht="15">
      <c r="A17" s="513" t="s">
        <v>403</v>
      </c>
      <c r="B17" s="291">
        <v>0</v>
      </c>
      <c r="C17" s="291">
        <f>10980.78-C23</f>
        <v>9000</v>
      </c>
      <c r="D17" s="291">
        <v>0</v>
      </c>
      <c r="E17" s="291">
        <v>0</v>
      </c>
      <c r="F17" s="291">
        <v>0</v>
      </c>
      <c r="G17" s="291">
        <f>SUM(B17:F17)</f>
        <v>9000</v>
      </c>
    </row>
    <row r="18" spans="1:7" ht="15.75" thickBot="1">
      <c r="A18" s="514" t="s">
        <v>388</v>
      </c>
      <c r="B18" s="631">
        <f aca="true" t="shared" si="0" ref="B18:G18">SUM(B15:B17)</f>
        <v>192891.24</v>
      </c>
      <c r="C18" s="631">
        <f t="shared" si="0"/>
        <v>5293950.82</v>
      </c>
      <c r="D18" s="631">
        <f t="shared" si="0"/>
        <v>525790.71</v>
      </c>
      <c r="E18" s="632">
        <f t="shared" si="0"/>
        <v>92034</v>
      </c>
      <c r="F18" s="632">
        <f t="shared" si="0"/>
        <v>93733</v>
      </c>
      <c r="G18" s="633">
        <f t="shared" si="0"/>
        <v>6198399.77</v>
      </c>
    </row>
    <row r="19" spans="1:7" ht="15.75" thickTop="1">
      <c r="A19" s="514"/>
      <c r="B19" s="901"/>
      <c r="C19" s="901"/>
      <c r="D19" s="901"/>
      <c r="E19" s="902"/>
      <c r="F19" s="902"/>
      <c r="G19" s="903"/>
    </row>
    <row r="20" spans="1:11" ht="15.75">
      <c r="A20" s="511" t="s">
        <v>473</v>
      </c>
      <c r="B20" s="663"/>
      <c r="C20" s="663"/>
      <c r="D20" s="663"/>
      <c r="E20" s="663"/>
      <c r="F20" s="663"/>
      <c r="G20" s="664"/>
      <c r="H20" s="666"/>
      <c r="I20" s="666"/>
      <c r="J20" s="666"/>
      <c r="K20" s="385"/>
    </row>
    <row r="21" spans="1:11" ht="15">
      <c r="A21" s="513" t="s">
        <v>401</v>
      </c>
      <c r="B21" s="291">
        <v>35543.97</v>
      </c>
      <c r="C21" s="291">
        <v>1043014.59</v>
      </c>
      <c r="D21" s="291">
        <v>85441.24</v>
      </c>
      <c r="E21" s="291">
        <v>18930.74</v>
      </c>
      <c r="F21" s="291">
        <v>20629.37</v>
      </c>
      <c r="G21" s="291">
        <f>SUM(B21:F21)</f>
        <v>1203559.9100000001</v>
      </c>
      <c r="H21" s="666"/>
      <c r="I21" s="666"/>
      <c r="J21" s="666"/>
      <c r="K21" s="385"/>
    </row>
    <row r="22" spans="1:11" ht="15">
      <c r="A22" s="513" t="s">
        <v>402</v>
      </c>
      <c r="B22" s="291">
        <v>6908.79</v>
      </c>
      <c r="C22" s="291">
        <v>120131.72</v>
      </c>
      <c r="D22" s="291">
        <v>30278.2</v>
      </c>
      <c r="E22" s="291">
        <v>1324.7</v>
      </c>
      <c r="F22" s="291">
        <v>0</v>
      </c>
      <c r="G22" s="291">
        <f>SUM(B22:F22)</f>
        <v>158643.41</v>
      </c>
      <c r="H22" s="666"/>
      <c r="I22" s="666"/>
      <c r="J22" s="666"/>
      <c r="K22" s="385"/>
    </row>
    <row r="23" spans="1:11" ht="15">
      <c r="A23" s="513" t="s">
        <v>403</v>
      </c>
      <c r="B23" s="291">
        <v>0</v>
      </c>
      <c r="C23" s="291">
        <v>1980.78</v>
      </c>
      <c r="D23" s="291">
        <v>0</v>
      </c>
      <c r="E23" s="291">
        <v>0</v>
      </c>
      <c r="F23" s="291">
        <v>0</v>
      </c>
      <c r="G23" s="291">
        <f>SUM(B23:F23)</f>
        <v>1980.78</v>
      </c>
      <c r="H23" s="666"/>
      <c r="I23" s="666"/>
      <c r="J23" s="666"/>
      <c r="K23" s="385"/>
    </row>
    <row r="24" spans="1:11" ht="15.75" thickBot="1">
      <c r="A24" s="514" t="s">
        <v>388</v>
      </c>
      <c r="B24" s="631">
        <f aca="true" t="shared" si="1" ref="B24:G24">SUM(B21:B23)</f>
        <v>42452.76</v>
      </c>
      <c r="C24" s="631">
        <f>SUM(C21:C23)+1</f>
        <v>1165128.09</v>
      </c>
      <c r="D24" s="631">
        <f t="shared" si="1"/>
        <v>115719.44</v>
      </c>
      <c r="E24" s="632">
        <f>SUM(E21:E23)+1</f>
        <v>20256.440000000002</v>
      </c>
      <c r="F24" s="632">
        <f t="shared" si="1"/>
        <v>20629.37</v>
      </c>
      <c r="G24" s="633">
        <f t="shared" si="1"/>
        <v>1364184.1</v>
      </c>
      <c r="H24" s="666"/>
      <c r="I24" s="666"/>
      <c r="J24" s="666"/>
      <c r="K24" s="385"/>
    </row>
    <row r="25" spans="1:7" ht="15.75" thickTop="1">
      <c r="A25" s="513"/>
      <c r="B25" s="634"/>
      <c r="C25" s="634"/>
      <c r="D25" s="634"/>
      <c r="E25" s="291"/>
      <c r="F25" s="291"/>
      <c r="G25" s="291"/>
    </row>
    <row r="26" spans="1:7" ht="15">
      <c r="A26" s="511" t="s">
        <v>198</v>
      </c>
      <c r="B26" s="635"/>
      <c r="C26" s="635"/>
      <c r="D26" s="635"/>
      <c r="E26" s="291"/>
      <c r="F26" s="291"/>
      <c r="G26" s="291"/>
    </row>
    <row r="27" spans="1:7" ht="15">
      <c r="A27" s="511" t="s">
        <v>477</v>
      </c>
      <c r="B27" s="635"/>
      <c r="C27" s="635"/>
      <c r="D27" s="635"/>
      <c r="E27" s="291"/>
      <c r="F27" s="291"/>
      <c r="G27" s="291"/>
    </row>
    <row r="28" spans="1:7" ht="15">
      <c r="A28" s="513" t="s">
        <v>401</v>
      </c>
      <c r="B28" s="634">
        <v>0</v>
      </c>
      <c r="C28" s="634">
        <v>3855159</v>
      </c>
      <c r="D28" s="634">
        <v>1825587</v>
      </c>
      <c r="E28" s="291">
        <v>86017</v>
      </c>
      <c r="F28" s="291">
        <f>133700+25029</f>
        <v>158729</v>
      </c>
      <c r="G28" s="291">
        <f>SUM(B28:F28)</f>
        <v>5925492</v>
      </c>
    </row>
    <row r="29" spans="1:7" ht="15">
      <c r="A29" s="513" t="s">
        <v>402</v>
      </c>
      <c r="B29" s="634">
        <v>0</v>
      </c>
      <c r="C29" s="634">
        <v>1125651</v>
      </c>
      <c r="D29" s="634">
        <v>152922</v>
      </c>
      <c r="E29" s="291">
        <v>8514</v>
      </c>
      <c r="F29" s="291">
        <v>0</v>
      </c>
      <c r="G29" s="291">
        <f>SUM(B29:F29)</f>
        <v>1287087</v>
      </c>
    </row>
    <row r="30" spans="1:7" ht="15">
      <c r="A30" s="513" t="s">
        <v>403</v>
      </c>
      <c r="B30" s="634">
        <v>0</v>
      </c>
      <c r="C30" s="634">
        <v>27967</v>
      </c>
      <c r="D30" s="634">
        <v>0</v>
      </c>
      <c r="E30" s="291">
        <v>0</v>
      </c>
      <c r="F30" s="291">
        <v>0</v>
      </c>
      <c r="G30" s="291">
        <f>SUM(B30:F30)</f>
        <v>27967</v>
      </c>
    </row>
    <row r="31" spans="1:7" ht="15.75" thickBot="1">
      <c r="A31" s="514" t="s">
        <v>388</v>
      </c>
      <c r="B31" s="631">
        <f aca="true" t="shared" si="2" ref="B31:G31">SUM(B28:B30)</f>
        <v>0</v>
      </c>
      <c r="C31" s="631">
        <f t="shared" si="2"/>
        <v>5008777</v>
      </c>
      <c r="D31" s="631">
        <f t="shared" si="2"/>
        <v>1978509</v>
      </c>
      <c r="E31" s="632">
        <f t="shared" si="2"/>
        <v>94531</v>
      </c>
      <c r="F31" s="632">
        <f t="shared" si="2"/>
        <v>158729</v>
      </c>
      <c r="G31" s="633">
        <f t="shared" si="2"/>
        <v>7240546</v>
      </c>
    </row>
    <row r="32" spans="1:8" s="383" customFormat="1" ht="15.75" thickTop="1">
      <c r="A32" s="515"/>
      <c r="B32" s="635"/>
      <c r="C32" s="635"/>
      <c r="D32" s="635"/>
      <c r="E32" s="635"/>
      <c r="F32" s="635"/>
      <c r="G32" s="635"/>
      <c r="H32" s="867"/>
    </row>
    <row r="33" spans="1:7" ht="15">
      <c r="A33" s="511" t="s">
        <v>404</v>
      </c>
      <c r="B33" s="634"/>
      <c r="C33" s="634"/>
      <c r="D33" s="634"/>
      <c r="E33" s="291"/>
      <c r="F33" s="291"/>
      <c r="G33" s="291"/>
    </row>
    <row r="34" spans="1:7" ht="15">
      <c r="A34" s="513" t="s">
        <v>401</v>
      </c>
      <c r="B34" s="291">
        <f aca="true" t="shared" si="3" ref="B34:F36">B9+(B15+B21-B28)</f>
        <v>206030.94</v>
      </c>
      <c r="C34" s="291">
        <f t="shared" si="3"/>
        <v>3553378.2</v>
      </c>
      <c r="D34" s="291">
        <f t="shared" si="3"/>
        <v>19678.939999999944</v>
      </c>
      <c r="E34" s="291">
        <f t="shared" si="3"/>
        <v>14754.000000000005</v>
      </c>
      <c r="F34" s="291">
        <f t="shared" si="3"/>
        <v>14783.369999999995</v>
      </c>
      <c r="G34" s="291">
        <f>SUM(B34:F34)</f>
        <v>3808625.45</v>
      </c>
    </row>
    <row r="35" spans="1:7" ht="15">
      <c r="A35" s="513" t="s">
        <v>402</v>
      </c>
      <c r="B35" s="291">
        <f t="shared" si="3"/>
        <v>62943.53999999999</v>
      </c>
      <c r="C35" s="291">
        <f t="shared" si="3"/>
        <v>166259.82000000007</v>
      </c>
      <c r="D35" s="291">
        <f t="shared" si="3"/>
        <v>84912.84</v>
      </c>
      <c r="E35" s="291">
        <f t="shared" si="3"/>
        <v>-1170.3000000000002</v>
      </c>
      <c r="F35" s="291">
        <f t="shared" si="3"/>
        <v>-14.88</v>
      </c>
      <c r="G35" s="291">
        <f>SUM(B35:F35)</f>
        <v>312931.0200000001</v>
      </c>
    </row>
    <row r="36" spans="1:7" ht="15">
      <c r="A36" s="513" t="s">
        <v>403</v>
      </c>
      <c r="B36" s="291">
        <f t="shared" si="3"/>
        <v>0</v>
      </c>
      <c r="C36" s="291">
        <f t="shared" si="3"/>
        <v>-15757.220000000001</v>
      </c>
      <c r="D36" s="291">
        <f t="shared" si="3"/>
        <v>0</v>
      </c>
      <c r="E36" s="291">
        <f t="shared" si="3"/>
        <v>0</v>
      </c>
      <c r="F36" s="291">
        <f t="shared" si="3"/>
        <v>0</v>
      </c>
      <c r="G36" s="291">
        <f>SUM(B36:F36)</f>
        <v>-15757.220000000001</v>
      </c>
    </row>
    <row r="37" spans="1:8" ht="15.75" thickBot="1">
      <c r="A37" s="514" t="s">
        <v>388</v>
      </c>
      <c r="B37" s="670">
        <f>SUM(B34:B36)+1</f>
        <v>268975.48</v>
      </c>
      <c r="C37" s="670">
        <f>SUM(C34:C36)</f>
        <v>3703880.8000000003</v>
      </c>
      <c r="D37" s="670">
        <f>SUM(D34:D36)</f>
        <v>104591.77999999994</v>
      </c>
      <c r="E37" s="670">
        <f>SUM(E34:E36)</f>
        <v>13583.700000000004</v>
      </c>
      <c r="F37" s="670">
        <f>SUM(F34:F36)</f>
        <v>14768.489999999996</v>
      </c>
      <c r="G37" s="670">
        <f>SUM(G34:G36)</f>
        <v>4105799.25</v>
      </c>
      <c r="H37" s="384"/>
    </row>
    <row r="38" spans="1:8" ht="16.5" thickTop="1">
      <c r="A38" s="391"/>
      <c r="B38" s="663"/>
      <c r="C38" s="663"/>
      <c r="D38" s="663"/>
      <c r="G38" s="665"/>
      <c r="H38" s="385"/>
    </row>
    <row r="40" ht="15.75">
      <c r="A40" s="904" t="s">
        <v>478</v>
      </c>
    </row>
  </sheetData>
  <printOptions horizontalCentered="1"/>
  <pageMargins left="0.75" right="0.75" top="0.5" bottom="0" header="0.5" footer="0"/>
  <pageSetup horizontalDpi="300" verticalDpi="300" orientation="landscape"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AM79"/>
  <sheetViews>
    <sheetView zoomScale="75" zoomScaleNormal="75" workbookViewId="0" topLeftCell="A8">
      <selection activeCell="B31" sqref="B31"/>
    </sheetView>
  </sheetViews>
  <sheetFormatPr defaultColWidth="9.140625" defaultRowHeight="12.75"/>
  <cols>
    <col min="1" max="1" width="30.8515625" style="19" customWidth="1"/>
    <col min="2" max="2" width="19.421875" style="175" customWidth="1"/>
    <col min="3" max="3" width="18.7109375" style="175" customWidth="1"/>
    <col min="4" max="4" width="18.57421875" style="175" customWidth="1"/>
    <col min="5" max="5" width="18.421875" style="130" customWidth="1"/>
    <col min="6" max="6" width="17.8515625" style="130" customWidth="1"/>
    <col min="7" max="7" width="17.421875" style="130" customWidth="1"/>
    <col min="8" max="8" width="15.140625" style="130" customWidth="1"/>
    <col min="9" max="9" width="10.28125" style="19" bestFit="1" customWidth="1"/>
    <col min="10" max="10" width="9.57421875" style="19" customWidth="1"/>
    <col min="11" max="16384" width="9.140625" style="19" customWidth="1"/>
  </cols>
  <sheetData>
    <row r="1" spans="1:8" s="261" customFormat="1" ht="26.25">
      <c r="A1" s="262" t="s">
        <v>260</v>
      </c>
      <c r="B1" s="318"/>
      <c r="C1" s="318"/>
      <c r="D1" s="318"/>
      <c r="E1" s="346"/>
      <c r="F1" s="346"/>
      <c r="G1" s="347"/>
      <c r="H1" s="263"/>
    </row>
    <row r="2" spans="1:7" ht="18.75">
      <c r="A2" s="898"/>
      <c r="B2" s="337"/>
      <c r="C2" s="337"/>
      <c r="D2" s="337"/>
      <c r="E2" s="337"/>
      <c r="F2" s="337"/>
      <c r="G2" s="348"/>
    </row>
    <row r="3" spans="1:7" ht="15">
      <c r="A3" s="47" t="s">
        <v>406</v>
      </c>
      <c r="B3" s="320"/>
      <c r="C3" s="320"/>
      <c r="D3" s="320"/>
      <c r="E3" s="349"/>
      <c r="F3" s="349"/>
      <c r="G3" s="348"/>
    </row>
    <row r="4" spans="1:7" ht="15">
      <c r="A4" s="47" t="s">
        <v>407</v>
      </c>
      <c r="B4" s="320"/>
      <c r="C4" s="320"/>
      <c r="D4" s="320"/>
      <c r="E4" s="349"/>
      <c r="F4" s="349"/>
      <c r="G4" s="348"/>
    </row>
    <row r="5" spans="1:7" ht="15">
      <c r="A5" s="525" t="str">
        <f>+'Premiums QTD-5'!4:4</f>
        <v>QTD PERIOD ENDED MARCH 31, 2004</v>
      </c>
      <c r="B5" s="320"/>
      <c r="C5" s="320"/>
      <c r="D5" s="320"/>
      <c r="E5" s="349"/>
      <c r="F5" s="349"/>
      <c r="G5" s="348"/>
    </row>
    <row r="6" spans="1:7" ht="15.75">
      <c r="A6" s="18"/>
      <c r="E6" s="348"/>
      <c r="F6" s="348"/>
      <c r="G6" s="348"/>
    </row>
    <row r="7" spans="1:7" ht="34.5" customHeight="1">
      <c r="A7" s="49"/>
      <c r="B7" s="321" t="s">
        <v>197</v>
      </c>
      <c r="C7" s="321" t="s">
        <v>41</v>
      </c>
      <c r="D7" s="321" t="s">
        <v>45</v>
      </c>
      <c r="E7" s="350" t="s">
        <v>145</v>
      </c>
      <c r="F7" s="350" t="s">
        <v>218</v>
      </c>
      <c r="G7" s="351" t="s">
        <v>261</v>
      </c>
    </row>
    <row r="8" spans="1:7" ht="29.25">
      <c r="A8" s="896" t="s">
        <v>408</v>
      </c>
      <c r="B8" s="322"/>
      <c r="C8" s="322"/>
      <c r="D8" s="322"/>
      <c r="G8" s="352"/>
    </row>
    <row r="9" spans="1:38" ht="15">
      <c r="A9" s="19" t="s">
        <v>385</v>
      </c>
      <c r="B9" s="640">
        <f>+'[1](1)LEP-QTD16JE5'!G35</f>
        <v>1317.5117785888665</v>
      </c>
      <c r="C9" s="640">
        <f>+'[1](1)LEP-QTD16JE5'!G29</f>
        <v>148427.46520776596</v>
      </c>
      <c r="D9" s="640">
        <f>+'[1](1)LEP-QTD16JE5'!G23</f>
        <v>91951.54491713276</v>
      </c>
      <c r="E9" s="640">
        <f>+'[1](1)LEP-QTD16JE5'!G17</f>
        <v>784.0011709934828</v>
      </c>
      <c r="F9" s="640">
        <f>+'[1](1)LEP-QTD16JE5'!G11-1</f>
        <v>3186.0162542425687</v>
      </c>
      <c r="G9" s="640">
        <f>SUM(B9:F9)</f>
        <v>245666.53932872365</v>
      </c>
      <c r="H9" s="125"/>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row>
    <row r="10" spans="1:38" s="24" customFormat="1" ht="15">
      <c r="A10" s="24" t="s">
        <v>386</v>
      </c>
      <c r="B10" s="125">
        <f>+'[1](1)LEP-QTD16JE5'!G36</f>
        <v>4367.833550659735</v>
      </c>
      <c r="C10" s="125">
        <f>+'[1](1)LEP-QTD16JE5'!G30</f>
        <v>145662.99266162704</v>
      </c>
      <c r="D10" s="125">
        <f>+'[1](1)LEP-QTD16JE5'!G24</f>
        <v>39257.225539555584</v>
      </c>
      <c r="E10" s="125">
        <f>+'[1](1)LEP-QTD16JE5'!G18</f>
        <v>254</v>
      </c>
      <c r="F10" s="125">
        <f>+'[1](1)LEP-QTD16JE5'!G12</f>
        <v>0</v>
      </c>
      <c r="G10" s="125">
        <f>SUM(B10:F10)</f>
        <v>189542.05175184237</v>
      </c>
      <c r="H10" s="125"/>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row>
    <row r="11" spans="1:38" s="24" customFormat="1" ht="15">
      <c r="A11" s="24" t="s">
        <v>387</v>
      </c>
      <c r="B11" s="125">
        <f>+'[1](1)LEP-QTD16JE5'!G37</f>
        <v>0</v>
      </c>
      <c r="C11" s="125">
        <f>+'[1](1)LEP-QTD16JE5'!G31</f>
        <v>5062.278919433994</v>
      </c>
      <c r="D11" s="125">
        <f>+'[1](1)LEP-QTD16JE5'!G25</f>
        <v>0</v>
      </c>
      <c r="E11" s="125">
        <f>+'[1](1)LEP-QTD16JE5'!G19</f>
        <v>0</v>
      </c>
      <c r="F11" s="125">
        <f>+'[1](1)LEP-QTD16JE5'!G13</f>
        <v>0</v>
      </c>
      <c r="G11" s="125">
        <f>SUM(B11:F11)</f>
        <v>5062.278919433994</v>
      </c>
      <c r="H11" s="125"/>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row>
    <row r="12" spans="1:38" s="24" customFormat="1" ht="15.75" thickBot="1">
      <c r="A12" s="899" t="s">
        <v>388</v>
      </c>
      <c r="B12" s="343">
        <f>SUM(B9:B11)+1</f>
        <v>5686.345329248601</v>
      </c>
      <c r="C12" s="343">
        <f>SUM(C9:C11)-1</f>
        <v>299151.736788827</v>
      </c>
      <c r="D12" s="343">
        <f>SUM(D9:D11)</f>
        <v>131208.77045668836</v>
      </c>
      <c r="E12" s="343">
        <f>SUM(E9:E11)</f>
        <v>1038.001170993483</v>
      </c>
      <c r="F12" s="343">
        <f>SUM(F9:F11)</f>
        <v>3186.0162542425687</v>
      </c>
      <c r="G12" s="132">
        <f>SUM(G9:G11)</f>
        <v>440270.87000000005</v>
      </c>
      <c r="H12" s="345"/>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row>
    <row r="13" spans="2:38" s="24" customFormat="1" ht="15.75" thickTop="1">
      <c r="B13" s="129"/>
      <c r="C13" s="129"/>
      <c r="D13" s="129"/>
      <c r="E13" s="125"/>
      <c r="F13" s="125"/>
      <c r="G13" s="130"/>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row>
    <row r="14" spans="1:38" s="24" customFormat="1" ht="29.25">
      <c r="A14" s="897" t="s">
        <v>483</v>
      </c>
      <c r="B14" s="129"/>
      <c r="C14" s="129"/>
      <c r="D14" s="129"/>
      <c r="E14" s="125"/>
      <c r="F14" s="125"/>
      <c r="G14" s="345"/>
      <c r="H14" s="125"/>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row>
    <row r="15" spans="1:38" s="24" customFormat="1" ht="15">
      <c r="A15" s="19" t="s">
        <v>385</v>
      </c>
      <c r="B15" s="129">
        <f>-'[1]TB03-31-04(Final)'!F136-'[1]TB03-31-04(Final)'!F173</f>
        <v>264467.89</v>
      </c>
      <c r="C15" s="129">
        <f>-'[1]TB03-31-04(Final)'!F135-'[1]TB03-31-04(Final)'!F172</f>
        <v>251182.88</v>
      </c>
      <c r="D15" s="129">
        <f>-'[1]TB03-31-04(Final)'!F134-'[1]TB03-31-04(Final)'!F171</f>
        <v>83309.20000000001</v>
      </c>
      <c r="E15" s="125">
        <f>-'[1]TB03-31-04(Final)'!F133-'[1]TB03-31-04(Final)'!F170</f>
        <v>24947.28</v>
      </c>
      <c r="F15" s="125">
        <f>-'[1]TB03-31-04(Final)'!F132-'[1]TB03-31-04(Final)'!F131-'[1]TB03-31-04(Final)'!F168-'[1]TB03-31-04(Final)'!F169-'[10]TB03-31-04(Final)'!$F$167</f>
        <v>15035.61</v>
      </c>
      <c r="G15" s="125">
        <f>SUM(B15:F15)</f>
        <v>638942.86</v>
      </c>
      <c r="H15" s="125"/>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row>
    <row r="16" spans="1:38" s="24" customFormat="1" ht="15">
      <c r="A16" s="24" t="s">
        <v>386</v>
      </c>
      <c r="B16" s="129">
        <f>-'[1]TB03-31-04(Final)'!F151-'[1]TB03-31-04(Final)'!F187</f>
        <v>51405.42</v>
      </c>
      <c r="C16" s="129">
        <f>-'[1]TB03-31-04(Final)'!F150-'[1]TB03-31-04(Final)'!F186</f>
        <v>28930.6</v>
      </c>
      <c r="D16" s="129">
        <f>-'[1]TB03-31-04(Final)'!F149-'[1]TB03-31-04(Final)'!F185</f>
        <v>29522.65</v>
      </c>
      <c r="E16" s="125">
        <f>-'[1]TB03-31-04(Final)'!F148-'[1]TB03-31-04(Final)'!F184</f>
        <v>1744.3200000000002</v>
      </c>
      <c r="F16" s="125">
        <f>0-'[1]TB03-31-04(Final)'!F182-'[1]TB03-31-04(Final)'!F183</f>
        <v>46.11</v>
      </c>
      <c r="G16" s="125">
        <f>SUM(B16:F16)</f>
        <v>111649.09999999999</v>
      </c>
      <c r="H16" s="125"/>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row>
    <row r="17" spans="1:38" s="24" customFormat="1" ht="15">
      <c r="A17" s="24" t="s">
        <v>387</v>
      </c>
      <c r="B17" s="129">
        <v>0</v>
      </c>
      <c r="C17" s="129">
        <f>-'[1]TB03-31-04(Final)'!F157-'[1]TB03-31-04(Final)'!F192</f>
        <v>477.02</v>
      </c>
      <c r="D17" s="129">
        <v>0</v>
      </c>
      <c r="E17" s="125">
        <v>0</v>
      </c>
      <c r="F17" s="125">
        <v>0</v>
      </c>
      <c r="G17" s="125">
        <f>SUM(B17:F17)</f>
        <v>477.02</v>
      </c>
      <c r="H17" s="125"/>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row>
    <row r="18" spans="1:38" s="24" customFormat="1" ht="15.75" thickBot="1">
      <c r="A18" s="899" t="s">
        <v>388</v>
      </c>
      <c r="B18" s="141">
        <f>SUM(B15:B17)</f>
        <v>315873.31</v>
      </c>
      <c r="C18" s="141">
        <f>SUM(C15:C17)</f>
        <v>280590.5</v>
      </c>
      <c r="D18" s="141">
        <f>SUM(D15:D17)</f>
        <v>112831.85</v>
      </c>
      <c r="E18" s="343">
        <f>SUM(E15:E17)-1</f>
        <v>26690.6</v>
      </c>
      <c r="F18" s="343">
        <f>SUM(F15:F17)</f>
        <v>15081.720000000001</v>
      </c>
      <c r="G18" s="132">
        <f>SUM(G15:G17)</f>
        <v>751068.98</v>
      </c>
      <c r="H18" s="345"/>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row>
    <row r="19" spans="2:38" s="24" customFormat="1" ht="15.75" thickTop="1">
      <c r="B19" s="129"/>
      <c r="C19" s="129"/>
      <c r="D19" s="129"/>
      <c r="E19" s="125"/>
      <c r="F19" s="125"/>
      <c r="G19" s="130"/>
      <c r="H19" s="35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row>
    <row r="20" spans="1:38" s="24" customFormat="1" ht="29.25">
      <c r="A20" s="897" t="s">
        <v>484</v>
      </c>
      <c r="B20" s="323"/>
      <c r="C20" s="323"/>
      <c r="D20" s="323"/>
      <c r="E20" s="641"/>
      <c r="F20" s="641"/>
      <c r="G20" s="345"/>
      <c r="H20" s="125"/>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row>
    <row r="21" spans="1:38" s="24" customFormat="1" ht="15">
      <c r="A21" s="19" t="s">
        <v>385</v>
      </c>
      <c r="B21" s="129">
        <v>0</v>
      </c>
      <c r="C21" s="129">
        <v>337867</v>
      </c>
      <c r="D21" s="129">
        <v>231302</v>
      </c>
      <c r="E21" s="125">
        <v>10898</v>
      </c>
      <c r="F21" s="125">
        <f>16940+3171</f>
        <v>20111</v>
      </c>
      <c r="G21" s="125">
        <f>SUM(B21:F21)</f>
        <v>600178</v>
      </c>
      <c r="H21" s="125"/>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row>
    <row r="22" spans="1:38" s="24" customFormat="1" ht="15">
      <c r="A22" s="24" t="s">
        <v>409</v>
      </c>
      <c r="B22" s="129">
        <v>0</v>
      </c>
      <c r="C22" s="129">
        <v>93705</v>
      </c>
      <c r="D22" s="129">
        <v>19375</v>
      </c>
      <c r="E22" s="125">
        <v>1079</v>
      </c>
      <c r="F22" s="125">
        <v>0</v>
      </c>
      <c r="G22" s="125">
        <f>SUM(B22:F22)</f>
        <v>114159</v>
      </c>
      <c r="H22" s="125"/>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row>
    <row r="23" spans="1:38" s="24" customFormat="1" ht="15">
      <c r="A23" s="24" t="s">
        <v>387</v>
      </c>
      <c r="B23" s="129">
        <v>0</v>
      </c>
      <c r="C23" s="129">
        <v>2851</v>
      </c>
      <c r="D23" s="129">
        <v>0</v>
      </c>
      <c r="E23" s="125">
        <v>0</v>
      </c>
      <c r="F23" s="125">
        <v>0</v>
      </c>
      <c r="G23" s="125">
        <f>SUM(B23:F23)</f>
        <v>2851</v>
      </c>
      <c r="H23" s="125"/>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row>
    <row r="24" spans="1:38" s="24" customFormat="1" ht="15.75" thickBot="1">
      <c r="A24" s="899" t="s">
        <v>388</v>
      </c>
      <c r="B24" s="141">
        <f aca="true" t="shared" si="0" ref="B24:G24">SUM(B21:B23)</f>
        <v>0</v>
      </c>
      <c r="C24" s="141">
        <f t="shared" si="0"/>
        <v>434423</v>
      </c>
      <c r="D24" s="141">
        <f t="shared" si="0"/>
        <v>250677</v>
      </c>
      <c r="E24" s="343">
        <f t="shared" si="0"/>
        <v>11977</v>
      </c>
      <c r="F24" s="343">
        <f t="shared" si="0"/>
        <v>20111</v>
      </c>
      <c r="G24" s="132">
        <f t="shared" si="0"/>
        <v>717188</v>
      </c>
      <c r="H24" s="345"/>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row>
    <row r="25" spans="2:38" s="313" customFormat="1" ht="15.75" thickTop="1">
      <c r="B25" s="323"/>
      <c r="C25" s="323"/>
      <c r="D25" s="323"/>
      <c r="E25" s="323"/>
      <c r="F25" s="323"/>
      <c r="G25" s="323"/>
      <c r="H25" s="314"/>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row>
    <row r="26" spans="1:38" s="24" customFormat="1" ht="29.25">
      <c r="A26" s="897" t="s">
        <v>447</v>
      </c>
      <c r="B26" s="129"/>
      <c r="C26" s="129"/>
      <c r="D26" s="129"/>
      <c r="E26" s="129"/>
      <c r="F26" s="129"/>
      <c r="G26" s="129"/>
      <c r="H26" s="125"/>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row>
    <row r="27" spans="1:38" s="24" customFormat="1" ht="15">
      <c r="A27" s="24" t="s">
        <v>385</v>
      </c>
      <c r="B27" s="125">
        <f>B9+B15-B21+1</f>
        <v>265786.4017785889</v>
      </c>
      <c r="C27" s="125">
        <f aca="true" t="shared" si="1" ref="B27:D29">C9+C15-C21</f>
        <v>61743.34520776593</v>
      </c>
      <c r="D27" s="125">
        <f t="shared" si="1"/>
        <v>-56041.255082867225</v>
      </c>
      <c r="E27" s="125">
        <f aca="true" t="shared" si="2" ref="E27:F29">E9+E15-E21</f>
        <v>14833.281170993483</v>
      </c>
      <c r="F27" s="125">
        <f t="shared" si="2"/>
        <v>-1889.3737457574316</v>
      </c>
      <c r="G27" s="125">
        <f>SUM(B27:F27)</f>
        <v>284432.3993287236</v>
      </c>
      <c r="H27" s="125"/>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row>
    <row r="28" spans="1:38" s="24" customFormat="1" ht="15">
      <c r="A28" s="24" t="s">
        <v>386</v>
      </c>
      <c r="B28" s="125">
        <f t="shared" si="1"/>
        <v>55773.253550659734</v>
      </c>
      <c r="C28" s="125">
        <f t="shared" si="1"/>
        <v>80888.59266162704</v>
      </c>
      <c r="D28" s="125">
        <f t="shared" si="1"/>
        <v>49404.87553955559</v>
      </c>
      <c r="E28" s="125">
        <f>E10+E16-E22</f>
        <v>919.3200000000002</v>
      </c>
      <c r="F28" s="125">
        <f t="shared" si="2"/>
        <v>46.11</v>
      </c>
      <c r="G28" s="125">
        <f>SUM(B28:F28)</f>
        <v>187032.15175184238</v>
      </c>
      <c r="H28" s="125"/>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row>
    <row r="29" spans="1:38" s="24" customFormat="1" ht="15">
      <c r="A29" s="24" t="s">
        <v>387</v>
      </c>
      <c r="B29" s="125">
        <f t="shared" si="1"/>
        <v>0</v>
      </c>
      <c r="C29" s="125">
        <f t="shared" si="1"/>
        <v>2688.2989194339934</v>
      </c>
      <c r="D29" s="125">
        <f t="shared" si="1"/>
        <v>0</v>
      </c>
      <c r="E29" s="125">
        <f t="shared" si="2"/>
        <v>0</v>
      </c>
      <c r="F29" s="125">
        <f t="shared" si="2"/>
        <v>0</v>
      </c>
      <c r="G29" s="125">
        <f>SUM(B29:F29)</f>
        <v>2688.2989194339934</v>
      </c>
      <c r="H29" s="125"/>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row>
    <row r="30" spans="1:38" ht="15.75" thickBot="1">
      <c r="A30" s="119" t="s">
        <v>388</v>
      </c>
      <c r="B30" s="361">
        <f>SUM(B27:B29)-1</f>
        <v>321558.65532924864</v>
      </c>
      <c r="C30" s="361">
        <f>SUM(C27:C29)</f>
        <v>145320.23678882697</v>
      </c>
      <c r="D30" s="361">
        <f>SUM(D27:D29)</f>
        <v>-6636.379543311632</v>
      </c>
      <c r="E30" s="361">
        <f>SUM(E27:E29)-1</f>
        <v>15751.601170993483</v>
      </c>
      <c r="F30" s="361">
        <f>SUM(F27:F29)</f>
        <v>-1843.2637457574317</v>
      </c>
      <c r="G30" s="361">
        <f>SUM(G27:G29)-1</f>
        <v>474151.85000000003</v>
      </c>
      <c r="H30" s="125"/>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row>
    <row r="31" spans="7:39" ht="16.5" thickTop="1">
      <c r="G31" s="125"/>
      <c r="I31" s="386"/>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row>
    <row r="32" spans="2:39" s="130" customFormat="1" ht="15.75">
      <c r="B32" s="175"/>
      <c r="C32" s="175"/>
      <c r="D32" s="17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row>
    <row r="33" spans="7:39" ht="15.75">
      <c r="G33" s="125"/>
      <c r="H33" s="125"/>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row>
    <row r="34" spans="7:39" ht="15.75">
      <c r="G34" s="125"/>
      <c r="H34" s="125"/>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row>
    <row r="35" spans="7:39" ht="15.75">
      <c r="G35" s="125"/>
      <c r="H35" s="125"/>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row>
    <row r="36" spans="7:39" ht="15.75">
      <c r="G36" s="125"/>
      <c r="H36" s="125"/>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row>
    <row r="37" spans="7:39" ht="15.75">
      <c r="G37" s="125"/>
      <c r="H37" s="125"/>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row>
    <row r="38" spans="7:39" ht="15.75">
      <c r="G38" s="125"/>
      <c r="H38" s="125"/>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row>
    <row r="39" spans="7:39" ht="15.75">
      <c r="G39" s="125"/>
      <c r="H39" s="125"/>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row>
    <row r="40" spans="7:39" ht="15.75">
      <c r="G40" s="125"/>
      <c r="H40" s="125"/>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row>
    <row r="41" spans="7:39" ht="15.75">
      <c r="G41" s="125"/>
      <c r="H41" s="125"/>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row>
    <row r="42" spans="7:39" ht="15.75">
      <c r="G42" s="125"/>
      <c r="H42" s="125"/>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row>
    <row r="43" spans="7:39" ht="15.75">
      <c r="G43" s="125"/>
      <c r="H43" s="125"/>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row>
    <row r="44" spans="7:39" ht="15.75">
      <c r="G44" s="125"/>
      <c r="H44" s="125"/>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row>
    <row r="45" spans="7:39" ht="15.75">
      <c r="G45" s="125"/>
      <c r="H45" s="125"/>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row>
    <row r="46" spans="7:39" ht="15.75">
      <c r="G46" s="125"/>
      <c r="H46" s="125"/>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row>
    <row r="47" spans="7:39" ht="15.75">
      <c r="G47" s="125"/>
      <c r="H47" s="125"/>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row>
    <row r="48" spans="7:39" ht="15.75">
      <c r="G48" s="125"/>
      <c r="H48" s="125"/>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row>
    <row r="49" spans="7:39" ht="15.75">
      <c r="G49" s="125"/>
      <c r="H49" s="125"/>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row>
    <row r="50" spans="7:39" ht="15.75">
      <c r="G50" s="125"/>
      <c r="H50" s="125"/>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row>
    <row r="51" spans="7:39" ht="15.75">
      <c r="G51" s="125"/>
      <c r="H51" s="125"/>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row>
    <row r="52" spans="7:39" ht="15.75">
      <c r="G52" s="125"/>
      <c r="H52" s="125"/>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row>
    <row r="53" spans="7:39" ht="15.75">
      <c r="G53" s="125"/>
      <c r="H53" s="125"/>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7:39" ht="15.75">
      <c r="G54" s="125"/>
      <c r="H54" s="125"/>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row>
    <row r="55" spans="7:39" ht="15.75">
      <c r="G55" s="125"/>
      <c r="H55" s="125"/>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row>
    <row r="56" spans="7:39" ht="15.75">
      <c r="G56" s="125"/>
      <c r="H56" s="125"/>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row>
    <row r="57" spans="7:39" ht="15.75">
      <c r="G57" s="125"/>
      <c r="H57" s="125"/>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row>
    <row r="58" spans="7:39" ht="15.75">
      <c r="G58" s="125"/>
      <c r="H58" s="125"/>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row>
    <row r="59" spans="7:39" ht="15.75">
      <c r="G59" s="125"/>
      <c r="H59" s="125"/>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row>
    <row r="60" spans="7:39" ht="15.75">
      <c r="G60" s="125"/>
      <c r="H60" s="125"/>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7:39" ht="15.75">
      <c r="G61" s="125"/>
      <c r="H61" s="125"/>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7:39" ht="15.75">
      <c r="G62" s="125"/>
      <c r="H62" s="125"/>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row>
    <row r="63" spans="7:39" ht="15.75">
      <c r="G63" s="125"/>
      <c r="H63" s="125"/>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row>
    <row r="64" spans="7:39" ht="15.75">
      <c r="G64" s="125"/>
      <c r="H64" s="125"/>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row>
    <row r="65" spans="7:39" ht="15.75">
      <c r="G65" s="125"/>
      <c r="H65" s="125"/>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7:39" ht="15.75">
      <c r="G66" s="125"/>
      <c r="H66" s="125"/>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7:39" ht="15.75">
      <c r="G67" s="125"/>
      <c r="H67" s="125"/>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7:39" ht="15.75">
      <c r="G68" s="125"/>
      <c r="H68" s="125"/>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7:39" ht="15.75">
      <c r="G69" s="125"/>
      <c r="H69" s="125"/>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row>
    <row r="70" spans="7:39" ht="15.75">
      <c r="G70" s="125"/>
      <c r="H70" s="125"/>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row>
    <row r="71" spans="7:39" ht="15.75">
      <c r="G71" s="125"/>
      <c r="H71" s="125"/>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row>
    <row r="72" spans="7:39" ht="15.75">
      <c r="G72" s="125"/>
      <c r="H72" s="125"/>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row r="73" spans="7:39" ht="15.75">
      <c r="G73" s="125"/>
      <c r="H73" s="125"/>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row>
    <row r="74" spans="7:39" ht="15.75">
      <c r="G74" s="125"/>
      <c r="H74" s="125"/>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row>
    <row r="75" spans="7:39" ht="15.75">
      <c r="G75" s="125"/>
      <c r="H75" s="125"/>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row>
    <row r="76" spans="7:39" ht="15.75">
      <c r="G76" s="125"/>
      <c r="H76" s="125"/>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row>
    <row r="77" spans="7:39" ht="15.75">
      <c r="G77" s="125"/>
      <c r="H77" s="125"/>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row>
    <row r="78" spans="7:39" ht="15.75">
      <c r="G78" s="125"/>
      <c r="H78" s="125"/>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row>
    <row r="79" spans="7:39" ht="15.75">
      <c r="G79" s="125"/>
      <c r="H79" s="125"/>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row>
  </sheetData>
  <printOptions horizontalCentered="1"/>
  <pageMargins left="0.75" right="0.75" top="0.5" bottom="0.5" header="0.5" footer="0.25"/>
  <pageSetup horizontalDpi="300" verticalDpi="300" orientation="landscape" scale="75" r:id="rId1"/>
  <headerFooter alignWithMargins="0">
    <oddFooter>&amp;CPage 7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9" customWidth="1"/>
    <col min="2" max="3" width="19.7109375" style="175" customWidth="1"/>
    <col min="4" max="4" width="19.140625" style="130" customWidth="1"/>
    <col min="5" max="5" width="18.57421875" style="130" customWidth="1"/>
    <col min="6" max="6" width="18.28125" style="130" customWidth="1"/>
    <col min="7" max="7" width="20.140625" style="130" customWidth="1"/>
    <col min="8" max="8" width="18.421875" style="19" customWidth="1"/>
    <col min="9" max="9" width="14.57421875" style="19" bestFit="1" customWidth="1"/>
    <col min="10" max="10" width="18.57421875" style="19" bestFit="1" customWidth="1"/>
    <col min="11" max="16384" width="9.140625" style="19" customWidth="1"/>
  </cols>
  <sheetData>
    <row r="1" spans="1:7" s="265" customFormat="1" ht="27.75">
      <c r="A1" s="264" t="s">
        <v>260</v>
      </c>
      <c r="B1" s="318"/>
      <c r="C1" s="318"/>
      <c r="D1" s="335"/>
      <c r="E1" s="335"/>
      <c r="F1" s="335"/>
      <c r="G1" s="336"/>
    </row>
    <row r="2" spans="1:7" ht="19.5" customHeight="1">
      <c r="A2" s="20"/>
      <c r="B2" s="319"/>
      <c r="C2" s="319"/>
      <c r="D2" s="337"/>
      <c r="E2" s="337"/>
      <c r="F2" s="319"/>
      <c r="G2" s="319"/>
    </row>
    <row r="3" spans="1:7" s="105" customFormat="1" ht="18.75">
      <c r="A3" s="104" t="s">
        <v>395</v>
      </c>
      <c r="B3" s="320"/>
      <c r="C3" s="320"/>
      <c r="D3" s="338"/>
      <c r="E3" s="338"/>
      <c r="F3" s="339"/>
      <c r="G3" s="319"/>
    </row>
    <row r="4" spans="1:7" s="105" customFormat="1" ht="18.75">
      <c r="A4" s="104" t="str">
        <f>+'(7)Premiums YTD8'!A4</f>
        <v>YTD PERIOD MARCH 31st, 2004</v>
      </c>
      <c r="B4" s="320"/>
      <c r="C4" s="320"/>
      <c r="D4" s="338"/>
      <c r="E4" s="338"/>
      <c r="F4" s="340"/>
      <c r="G4" s="319"/>
    </row>
    <row r="5" spans="1:7" s="105" customFormat="1" ht="16.5">
      <c r="A5" s="27"/>
      <c r="B5" s="320"/>
      <c r="C5" s="320"/>
      <c r="D5" s="319"/>
      <c r="E5" s="319"/>
      <c r="F5" s="339"/>
      <c r="G5" s="339"/>
    </row>
    <row r="6" spans="1:7" ht="30" customHeight="1">
      <c r="A6" s="106"/>
      <c r="B6" s="321" t="s">
        <v>41</v>
      </c>
      <c r="C6" s="321" t="s">
        <v>45</v>
      </c>
      <c r="D6" s="333" t="s">
        <v>145</v>
      </c>
      <c r="E6" s="333" t="s">
        <v>221</v>
      </c>
      <c r="F6" s="333" t="s">
        <v>99</v>
      </c>
      <c r="G6" s="334" t="s">
        <v>261</v>
      </c>
    </row>
    <row r="7" spans="1:7" ht="15.75">
      <c r="A7" s="107" t="s">
        <v>396</v>
      </c>
      <c r="D7" s="341"/>
      <c r="E7" s="341"/>
      <c r="F7" s="341"/>
      <c r="G7" s="341"/>
    </row>
    <row r="8" spans="1:8" ht="15">
      <c r="A8" s="107" t="s">
        <v>397</v>
      </c>
      <c r="B8" s="322"/>
      <c r="C8" s="322"/>
      <c r="D8" s="341"/>
      <c r="E8" s="341"/>
      <c r="F8" s="341"/>
      <c r="G8" s="341"/>
      <c r="H8" s="116"/>
    </row>
    <row r="9" spans="1:8" ht="15">
      <c r="A9" s="108" t="s">
        <v>398</v>
      </c>
      <c r="B9" s="125">
        <f>+'[1]TB03-31-04(Final)'!F371</f>
        <v>0</v>
      </c>
      <c r="C9" s="125">
        <f>+'[1]TB03-31-04(Final)'!F370</f>
        <v>0</v>
      </c>
      <c r="D9" s="125">
        <f>+'[1]TB03-31-04(Final)'!F368</f>
        <v>1626410.46</v>
      </c>
      <c r="E9" s="125">
        <f>+'[1]TB03-31-04(Final)'!F367</f>
        <v>1371608.06</v>
      </c>
      <c r="F9" s="125">
        <f>SUM('[1]TB03-31-04(Final)'!F363:F366)+'[1]TB03-31-04(Final)'!G396</f>
        <v>60650</v>
      </c>
      <c r="G9" s="125">
        <f>SUM(B9:F9)</f>
        <v>3058668.52</v>
      </c>
      <c r="H9" s="26" t="s">
        <v>242</v>
      </c>
    </row>
    <row r="10" spans="1:8" s="24" customFormat="1" ht="15">
      <c r="A10" s="109" t="s">
        <v>399</v>
      </c>
      <c r="B10" s="326" t="e">
        <f>+'[1]TB03-31-04(Final)'!F379</f>
        <v>#REF!</v>
      </c>
      <c r="C10" s="326" t="e">
        <f>+'[1]TB03-31-04(Final)'!D378+'[1]TB03-31-04(Final)'!#REF!</f>
        <v>#REF!</v>
      </c>
      <c r="D10" s="326" t="e">
        <f>+'[1]TB03-31-04(Final)'!F376+'[1]TB03-31-04(Final)'!F405</f>
        <v>#REF!</v>
      </c>
      <c r="E10" s="326">
        <f>+'[1]TB03-31-04(Final)'!F375</f>
        <v>69982.57</v>
      </c>
      <c r="F10" s="326" t="e">
        <f>SUM('[1]TB03-31-04(Final)'!F372:F374)+'[1]TB03-31-04(Final)'!G400</f>
        <v>#REF!</v>
      </c>
      <c r="G10" s="342" t="e">
        <f>SUM(B10:F10)</f>
        <v>#REF!</v>
      </c>
      <c r="H10" s="26" t="s">
        <v>243</v>
      </c>
    </row>
    <row r="11" spans="1:8" s="24" customFormat="1" ht="15">
      <c r="A11" s="109" t="s">
        <v>400</v>
      </c>
      <c r="B11" s="326" t="e">
        <f>+'[1]TB03-31-04(Final)'!D386</f>
        <v>#REF!</v>
      </c>
      <c r="C11" s="326" t="e">
        <f>+'[1]TB03-31-04(Final)'!F385</f>
        <v>#REF!</v>
      </c>
      <c r="D11" s="326" t="e">
        <f>+'[1]TB03-31-04(Final)'!F384</f>
        <v>#REF!</v>
      </c>
      <c r="E11" s="326">
        <f>+'[1]TB03-31-04(Final)'!F382</f>
        <v>0</v>
      </c>
      <c r="F11" s="326">
        <f>+'[1]TB03-31-04(Final)'!F381</f>
        <v>0</v>
      </c>
      <c r="G11" s="342" t="e">
        <f>SUM(B11:F11)</f>
        <v>#REF!</v>
      </c>
      <c r="H11" s="26" t="s">
        <v>244</v>
      </c>
    </row>
    <row r="12" spans="1:8" s="24" customFormat="1" ht="15.75" thickBot="1">
      <c r="A12" s="110" t="s">
        <v>388</v>
      </c>
      <c r="B12" s="141" t="e">
        <f aca="true" t="shared" si="0" ref="B12:G12">SUM(B9:B11)</f>
        <v>#REF!</v>
      </c>
      <c r="C12" s="141" t="e">
        <f t="shared" si="0"/>
        <v>#REF!</v>
      </c>
      <c r="D12" s="343" t="e">
        <f t="shared" si="0"/>
        <v>#REF!</v>
      </c>
      <c r="E12" s="343">
        <f t="shared" si="0"/>
        <v>1441590.6300000001</v>
      </c>
      <c r="F12" s="343" t="e">
        <f t="shared" si="0"/>
        <v>#REF!</v>
      </c>
      <c r="G12" s="132" t="e">
        <f t="shared" si="0"/>
        <v>#REF!</v>
      </c>
      <c r="H12" s="24">
        <f>+'[1]TB03-31-04(Final)'!E407</f>
        <v>3783761.3799999994</v>
      </c>
    </row>
    <row r="13" spans="1:8" s="24" customFormat="1" ht="15.75" thickTop="1">
      <c r="A13" s="108"/>
      <c r="B13" s="129"/>
      <c r="C13" s="129"/>
      <c r="D13" s="342"/>
      <c r="E13" s="342"/>
      <c r="F13" s="342"/>
      <c r="G13" s="342"/>
      <c r="H13" s="24" t="e">
        <f>+G12-H12</f>
        <v>#REF!</v>
      </c>
    </row>
    <row r="14" spans="1:7" s="24" customFormat="1" ht="15">
      <c r="A14" s="107" t="s">
        <v>154</v>
      </c>
      <c r="B14" s="129"/>
      <c r="C14" s="129"/>
      <c r="D14" s="342"/>
      <c r="E14" s="342"/>
      <c r="F14" s="342"/>
      <c r="G14" s="342"/>
    </row>
    <row r="15" spans="1:7" s="24" customFormat="1" ht="15">
      <c r="A15" s="108" t="s">
        <v>401</v>
      </c>
      <c r="B15" s="342">
        <f>+'[1](1)IBNR Cal13'!D21</f>
        <v>388216.64</v>
      </c>
      <c r="C15" s="342">
        <f>+'[1](1)IBNR Cal13'!E21</f>
        <v>388216.64</v>
      </c>
      <c r="D15" s="342">
        <f>+'[1](1)IBNR Cal13'!E15</f>
        <v>86015</v>
      </c>
      <c r="E15" s="342">
        <f>+'[1](1)IBNR Cal13'!E9</f>
        <v>93733</v>
      </c>
      <c r="F15" s="342" t="e">
        <f>+'[1](1)IBNR Cal13'!#REF!</f>
        <v>#REF!</v>
      </c>
      <c r="G15" s="342" t="e">
        <f>SUM(B15:F15)</f>
        <v>#REF!</v>
      </c>
    </row>
    <row r="16" spans="1:7" s="24" customFormat="1" ht="15">
      <c r="A16" s="108" t="s">
        <v>402</v>
      </c>
      <c r="B16" s="342">
        <f>+'[1](1)IBNR Cal13'!D22</f>
        <v>137574.07</v>
      </c>
      <c r="C16" s="342">
        <f>+'[1](1)IBNR Cal13'!E22</f>
        <v>137574.07</v>
      </c>
      <c r="D16" s="342">
        <f>+'[1](1)IBNR Cal13'!E16</f>
        <v>6011</v>
      </c>
      <c r="E16" s="342">
        <f>+'[1](1)IBNR Cal13'!E10</f>
        <v>8</v>
      </c>
      <c r="F16" s="342" t="e">
        <f>+'[1](1)IBNR Cal13'!#REF!</f>
        <v>#REF!</v>
      </c>
      <c r="G16" s="342" t="e">
        <f>SUM(B16:F16)</f>
        <v>#REF!</v>
      </c>
    </row>
    <row r="17" spans="1:7" s="24" customFormat="1" ht="15">
      <c r="A17" s="108" t="s">
        <v>403</v>
      </c>
      <c r="B17" s="342">
        <f>+'[1](1)IBNR Cal13'!D23</f>
        <v>0</v>
      </c>
      <c r="C17" s="342">
        <f>+'[1](1)IBNR Cal13'!E23</f>
        <v>0</v>
      </c>
      <c r="D17" s="342">
        <f>+'[1](1)IBNR Cal13'!E17</f>
        <v>0</v>
      </c>
      <c r="E17" s="342">
        <f>+'[1](1)IBNR Cal13'!E11</f>
        <v>0</v>
      </c>
      <c r="F17" s="342" t="e">
        <f>+'[1](1)IBNR Cal13'!#REF!</f>
        <v>#REF!</v>
      </c>
      <c r="G17" s="342" t="e">
        <f>SUM(B17:F17)</f>
        <v>#REF!</v>
      </c>
    </row>
    <row r="18" spans="1:8" s="24" customFormat="1" ht="15">
      <c r="A18" s="110" t="s">
        <v>388</v>
      </c>
      <c r="B18" s="141">
        <f>SUM(B15:B17)+1</f>
        <v>525791.71</v>
      </c>
      <c r="C18" s="141">
        <f>SUM(C15:C17)+1</f>
        <v>525791.71</v>
      </c>
      <c r="D18" s="343">
        <f>SUM(D15:D17)+1</f>
        <v>92027</v>
      </c>
      <c r="E18" s="343">
        <f>SUM(E15:E17)</f>
        <v>93741</v>
      </c>
      <c r="F18" s="343" t="e">
        <f>SUM(F15:F17)</f>
        <v>#REF!</v>
      </c>
      <c r="G18" s="131" t="e">
        <f>SUM(G15:G17)</f>
        <v>#REF!</v>
      </c>
      <c r="H18" s="24">
        <f>+'[1](1)IBNR Cal13'!E42</f>
        <v>7846756.2299999995</v>
      </c>
    </row>
    <row r="19" spans="1:7" s="24" customFormat="1" ht="15">
      <c r="A19" s="108"/>
      <c r="B19" s="129"/>
      <c r="C19" s="129"/>
      <c r="D19" s="342"/>
      <c r="E19" s="342"/>
      <c r="F19" s="342"/>
      <c r="G19" s="342"/>
    </row>
    <row r="20" spans="1:7" s="24" customFormat="1" ht="15">
      <c r="A20" s="107" t="s">
        <v>208</v>
      </c>
      <c r="B20" s="323" t="s">
        <v>259</v>
      </c>
      <c r="C20" s="323" t="s">
        <v>259</v>
      </c>
      <c r="D20" s="342"/>
      <c r="E20" s="342"/>
      <c r="F20" s="342"/>
      <c r="G20" s="342"/>
    </row>
    <row r="21" spans="1:7" s="24" customFormat="1" ht="15">
      <c r="A21" s="108" t="s">
        <v>401</v>
      </c>
      <c r="B21" s="129">
        <v>0</v>
      </c>
      <c r="C21" s="129">
        <v>3812745.98</v>
      </c>
      <c r="D21" s="342">
        <v>796383.95</v>
      </c>
      <c r="E21" s="342">
        <v>173012</v>
      </c>
      <c r="F21" s="342">
        <f>4+76330.03</f>
        <v>76334.03</v>
      </c>
      <c r="G21" s="342">
        <f>SUM(B21:F21)</f>
        <v>4858475.96</v>
      </c>
    </row>
    <row r="22" spans="1:7" s="24" customFormat="1" ht="15">
      <c r="A22" s="108" t="s">
        <v>402</v>
      </c>
      <c r="B22" s="129">
        <v>0</v>
      </c>
      <c r="C22" s="129">
        <v>582572.89</v>
      </c>
      <c r="D22" s="342">
        <v>136273.61</v>
      </c>
      <c r="E22" s="342">
        <v>-982</v>
      </c>
      <c r="F22" s="342">
        <f>365.82+1967</f>
        <v>2332.82</v>
      </c>
      <c r="G22" s="342">
        <f>SUM(B22:F22)</f>
        <v>720197.32</v>
      </c>
    </row>
    <row r="23" spans="1:7" s="24" customFormat="1" ht="15">
      <c r="A23" s="108" t="s">
        <v>403</v>
      </c>
      <c r="B23" s="129">
        <v>0</v>
      </c>
      <c r="C23" s="129">
        <v>8803.51</v>
      </c>
      <c r="D23" s="342">
        <v>0</v>
      </c>
      <c r="E23" s="342">
        <v>0</v>
      </c>
      <c r="F23" s="342">
        <v>0</v>
      </c>
      <c r="G23" s="342">
        <f>SUM(B23:F23)</f>
        <v>8803.51</v>
      </c>
    </row>
    <row r="24" spans="1:8" s="24" customFormat="1" ht="15.75" thickBot="1">
      <c r="A24" s="110" t="s">
        <v>388</v>
      </c>
      <c r="B24" s="141">
        <f>SUM(B21:B23)</f>
        <v>0</v>
      </c>
      <c r="C24" s="141">
        <f>SUM(C21:C23)</f>
        <v>4404122.38</v>
      </c>
      <c r="D24" s="343">
        <f>SUM(D21:D23)</f>
        <v>932657.5599999999</v>
      </c>
      <c r="E24" s="343">
        <f>SUM(E21:E23)</f>
        <v>172030</v>
      </c>
      <c r="F24" s="343">
        <f>SUM(F21:F23)</f>
        <v>78666.85</v>
      </c>
      <c r="G24" s="132">
        <f>SUM(B24:F24)</f>
        <v>5587476.789999999</v>
      </c>
      <c r="H24" s="24">
        <f>SUM(G21:G23)</f>
        <v>5587476.79</v>
      </c>
    </row>
    <row r="25" spans="1:7" s="313" customFormat="1" ht="15.75" thickTop="1">
      <c r="A25" s="312"/>
      <c r="B25" s="323"/>
      <c r="C25" s="323"/>
      <c r="D25" s="323"/>
      <c r="E25" s="323"/>
      <c r="F25" s="323"/>
      <c r="G25" s="323"/>
    </row>
    <row r="26" spans="1:7" s="24" customFormat="1" ht="15">
      <c r="A26" s="107" t="s">
        <v>404</v>
      </c>
      <c r="B26" s="129"/>
      <c r="C26" s="129"/>
      <c r="D26" s="342"/>
      <c r="E26" s="342"/>
      <c r="F26" s="342"/>
      <c r="G26" s="342"/>
    </row>
    <row r="27" spans="1:9" s="24" customFormat="1" ht="15">
      <c r="A27" s="108" t="s">
        <v>401</v>
      </c>
      <c r="B27" s="342">
        <f aca="true" t="shared" si="1" ref="B27:C29">B9+(B15-B21)</f>
        <v>388216.64</v>
      </c>
      <c r="C27" s="342">
        <f t="shared" si="1"/>
        <v>-3424529.34</v>
      </c>
      <c r="D27" s="342">
        <f aca="true" t="shared" si="2" ref="D27:E29">D9+(D15-D21)</f>
        <v>916041.51</v>
      </c>
      <c r="E27" s="342">
        <f t="shared" si="2"/>
        <v>1292329.06</v>
      </c>
      <c r="F27" s="342" t="e">
        <f>F9+(F15-F21)</f>
        <v>#REF!</v>
      </c>
      <c r="G27" s="342" t="e">
        <f>SUM(B27:F27)</f>
        <v>#REF!</v>
      </c>
      <c r="H27" s="26" t="s">
        <v>376</v>
      </c>
      <c r="I27" s="24" t="s">
        <v>379</v>
      </c>
    </row>
    <row r="28" spans="1:8" s="24" customFormat="1" ht="15">
      <c r="A28" s="108" t="s">
        <v>402</v>
      </c>
      <c r="B28" s="342" t="e">
        <f t="shared" si="1"/>
        <v>#REF!</v>
      </c>
      <c r="C28" s="342" t="e">
        <f t="shared" si="1"/>
        <v>#REF!</v>
      </c>
      <c r="D28" s="342" t="e">
        <f t="shared" si="2"/>
        <v>#REF!</v>
      </c>
      <c r="E28" s="342">
        <f t="shared" si="2"/>
        <v>70972.57</v>
      </c>
      <c r="F28" s="342" t="e">
        <f>F10+(F16-F22)</f>
        <v>#REF!</v>
      </c>
      <c r="G28" s="342" t="e">
        <f>SUM(B28:F28)</f>
        <v>#REF!</v>
      </c>
      <c r="H28" s="26" t="s">
        <v>377</v>
      </c>
    </row>
    <row r="29" spans="1:8" s="24" customFormat="1" ht="15">
      <c r="A29" s="108" t="s">
        <v>403</v>
      </c>
      <c r="B29" s="342" t="e">
        <f t="shared" si="1"/>
        <v>#REF!</v>
      </c>
      <c r="C29" s="342" t="e">
        <f t="shared" si="1"/>
        <v>#REF!</v>
      </c>
      <c r="D29" s="342" t="e">
        <f t="shared" si="2"/>
        <v>#REF!</v>
      </c>
      <c r="E29" s="342">
        <f t="shared" si="2"/>
        <v>0</v>
      </c>
      <c r="F29" s="342" t="e">
        <f>F11+(F17-F23)</f>
        <v>#REF!</v>
      </c>
      <c r="G29" s="342" t="e">
        <f>SUM(B29:F29)</f>
        <v>#REF!</v>
      </c>
      <c r="H29" s="26" t="s">
        <v>378</v>
      </c>
    </row>
    <row r="30" spans="1:9" ht="15.75" thickBot="1">
      <c r="A30" s="110" t="s">
        <v>388</v>
      </c>
      <c r="B30" s="361" t="e">
        <f>SUM(B27:B29)-1</f>
        <v>#REF!</v>
      </c>
      <c r="C30" s="361" t="e">
        <f>SUM(C27:C29)-1</f>
        <v>#REF!</v>
      </c>
      <c r="D30" s="361" t="e">
        <f>SUM(D27:D29)</f>
        <v>#REF!</v>
      </c>
      <c r="E30" s="361">
        <f>SUM(E27:E29)</f>
        <v>1363301.6300000001</v>
      </c>
      <c r="F30" s="361" t="e">
        <f>SUM(F27:F29)</f>
        <v>#REF!</v>
      </c>
      <c r="G30" s="361" t="e">
        <f>SUM(G27:G29)</f>
        <v>#REF!</v>
      </c>
      <c r="H30" s="130" t="e">
        <f>SUM(G27:G29)</f>
        <v>#REF!</v>
      </c>
      <c r="I30" s="111"/>
    </row>
    <row r="31" spans="4:8" ht="16.5" thickTop="1">
      <c r="D31" s="344"/>
      <c r="E31" s="344"/>
      <c r="F31" s="345"/>
      <c r="G31" s="345"/>
      <c r="H31" s="112">
        <f>+'[1]TB03-31-04(Final)'!E462</f>
        <v>4105799.4900000007</v>
      </c>
    </row>
    <row r="32" spans="4:8" ht="15.75">
      <c r="D32" s="344"/>
      <c r="E32" s="344"/>
      <c r="F32" s="345"/>
      <c r="G32" s="345"/>
      <c r="H32" s="112"/>
    </row>
    <row r="33" spans="1:7" ht="18.75" customHeight="1">
      <c r="A33" s="107" t="s">
        <v>440</v>
      </c>
      <c r="D33" s="366"/>
      <c r="E33" s="366"/>
      <c r="F33" s="366"/>
      <c r="G33" s="367" t="s">
        <v>438</v>
      </c>
    </row>
    <row r="34" spans="1:7" ht="15">
      <c r="A34" s="108" t="s">
        <v>401</v>
      </c>
      <c r="B34" s="129">
        <f>468189.06-222137.25</f>
        <v>246051.81</v>
      </c>
      <c r="C34" s="129">
        <f>468189.06-222137.25</f>
        <v>246051.81</v>
      </c>
      <c r="D34" s="129">
        <f>448199.18-670918.35</f>
        <v>-222719.16999999998</v>
      </c>
      <c r="E34" s="368">
        <v>0</v>
      </c>
      <c r="F34" s="368">
        <v>0</v>
      </c>
      <c r="G34" s="125">
        <f>SUM(B34:F34)</f>
        <v>269384.45</v>
      </c>
    </row>
    <row r="35" spans="1:7" ht="15">
      <c r="A35" s="108" t="s">
        <v>402</v>
      </c>
      <c r="B35" s="129">
        <f>175542.97-81939.83</f>
        <v>93603.14</v>
      </c>
      <c r="C35" s="129">
        <f>175542.97-81939.83</f>
        <v>93603.14</v>
      </c>
      <c r="D35" s="129">
        <f>180110.78-278566.43</f>
        <v>-98455.65</v>
      </c>
      <c r="E35" s="368">
        <v>0</v>
      </c>
      <c r="F35" s="368">
        <v>0</v>
      </c>
      <c r="G35" s="125">
        <f>SUM(B35:F35)</f>
        <v>88750.63</v>
      </c>
    </row>
    <row r="36" spans="1:7" ht="15">
      <c r="A36" s="108" t="s">
        <v>403</v>
      </c>
      <c r="B36" s="129">
        <f>3215.61-1526.93</f>
        <v>1688.68</v>
      </c>
      <c r="C36" s="129">
        <f>3215.61-1526.93</f>
        <v>1688.68</v>
      </c>
      <c r="D36" s="129">
        <f>3443.46-5433.83</f>
        <v>-1990.37</v>
      </c>
      <c r="E36" s="368">
        <v>0</v>
      </c>
      <c r="F36" s="368">
        <v>0</v>
      </c>
      <c r="G36" s="125">
        <f>SUM(B36:F36)</f>
        <v>1386.9900000000002</v>
      </c>
    </row>
    <row r="37" spans="1:7" ht="15.75" thickBot="1">
      <c r="A37" s="110" t="s">
        <v>388</v>
      </c>
      <c r="B37" s="361">
        <f aca="true" t="shared" si="3" ref="B37:G37">SUM(B34:B36)</f>
        <v>341343.63</v>
      </c>
      <c r="C37" s="361">
        <f t="shared" si="3"/>
        <v>341343.63</v>
      </c>
      <c r="D37" s="361">
        <f t="shared" si="3"/>
        <v>-323165.18999999994</v>
      </c>
      <c r="E37" s="370">
        <f t="shared" si="3"/>
        <v>0</v>
      </c>
      <c r="F37" s="370">
        <f t="shared" si="3"/>
        <v>0</v>
      </c>
      <c r="G37" s="361">
        <f t="shared" si="3"/>
        <v>359522.07</v>
      </c>
    </row>
    <row r="38" spans="1:7" s="140" customFormat="1" ht="16.5" thickTop="1">
      <c r="A38" s="312"/>
      <c r="B38" s="362"/>
      <c r="C38" s="362"/>
      <c r="D38" s="362"/>
      <c r="E38" s="362"/>
      <c r="F38" s="242"/>
      <c r="G38" s="242"/>
    </row>
    <row r="39" spans="1:8" ht="31.5" customHeight="1">
      <c r="A39" s="107" t="s">
        <v>279</v>
      </c>
      <c r="B39" s="333" t="s">
        <v>45</v>
      </c>
      <c r="C39" s="333" t="s">
        <v>45</v>
      </c>
      <c r="D39" s="333" t="s">
        <v>145</v>
      </c>
      <c r="E39" s="333" t="s">
        <v>221</v>
      </c>
      <c r="F39" s="333" t="s">
        <v>294</v>
      </c>
      <c r="G39" s="334" t="s">
        <v>261</v>
      </c>
      <c r="H39" s="254"/>
    </row>
    <row r="40" spans="2:8" ht="15.75">
      <c r="B40" s="324"/>
      <c r="C40" s="324"/>
      <c r="D40" s="329"/>
      <c r="E40" s="329"/>
      <c r="F40" s="331"/>
      <c r="G40" s="326"/>
      <c r="H40" s="255" t="e">
        <f>+'[1]TB03-31-04(Final)'!G455</f>
        <v>#REF!</v>
      </c>
    </row>
    <row r="41" spans="1:8" ht="12.75" customHeight="1">
      <c r="A41" s="108" t="s">
        <v>401</v>
      </c>
      <c r="B41" s="325">
        <f>+B27-B34</f>
        <v>142164.83000000002</v>
      </c>
      <c r="C41" s="325">
        <f aca="true" t="shared" si="4" ref="C41:F42">+C27-C34</f>
        <v>-3670581.15</v>
      </c>
      <c r="D41" s="325">
        <f t="shared" si="4"/>
        <v>1138760.68</v>
      </c>
      <c r="E41" s="325">
        <f t="shared" si="4"/>
        <v>1292329.06</v>
      </c>
      <c r="F41" s="325" t="e">
        <f t="shared" si="4"/>
        <v>#REF!</v>
      </c>
      <c r="G41" s="326" t="e">
        <f>SUM(C41:F41)</f>
        <v>#REF!</v>
      </c>
      <c r="H41" s="98"/>
    </row>
    <row r="42" spans="1:8" ht="12.75" customHeight="1">
      <c r="A42" s="108" t="s">
        <v>402</v>
      </c>
      <c r="B42" s="325" t="e">
        <f>+B28-B35</f>
        <v>#REF!</v>
      </c>
      <c r="C42" s="325" t="e">
        <f t="shared" si="4"/>
        <v>#REF!</v>
      </c>
      <c r="D42" s="325" t="e">
        <f t="shared" si="4"/>
        <v>#REF!</v>
      </c>
      <c r="E42" s="325">
        <f t="shared" si="4"/>
        <v>70972.57</v>
      </c>
      <c r="F42" s="325" t="e">
        <f t="shared" si="4"/>
        <v>#REF!</v>
      </c>
      <c r="G42" s="326" t="e">
        <f>SUM(C42:F42)</f>
        <v>#REF!</v>
      </c>
      <c r="H42" s="98"/>
    </row>
    <row r="43" spans="1:8" ht="15">
      <c r="A43" s="108" t="s">
        <v>403</v>
      </c>
      <c r="B43" s="325" t="e">
        <f>+B29-B36</f>
        <v>#REF!</v>
      </c>
      <c r="C43" s="325" t="e">
        <f>+C29-C36</f>
        <v>#REF!</v>
      </c>
      <c r="D43" s="325" t="e">
        <f>+D29-D36</f>
        <v>#REF!</v>
      </c>
      <c r="E43" s="325">
        <f>+E29-E35</f>
        <v>0</v>
      </c>
      <c r="F43" s="325" t="e">
        <f>+F29-F35</f>
        <v>#REF!</v>
      </c>
      <c r="G43" s="326" t="e">
        <f>SUM(C43:F43)</f>
        <v>#REF!</v>
      </c>
      <c r="H43" s="98"/>
    </row>
    <row r="44" spans="1:8" ht="15.75" thickBot="1">
      <c r="A44" s="110" t="s">
        <v>388</v>
      </c>
      <c r="B44" s="361" t="e">
        <f>SUM(B41:B43)-1</f>
        <v>#REF!</v>
      </c>
      <c r="C44" s="361" t="e">
        <f>SUM(C41:C43)-1</f>
        <v>#REF!</v>
      </c>
      <c r="D44" s="132" t="e">
        <f>SUM(D41:D43)</f>
        <v>#REF!</v>
      </c>
      <c r="E44" s="132">
        <f>SUM(E41:E43)</f>
        <v>1363301.6300000001</v>
      </c>
      <c r="F44" s="132" t="e">
        <f>SUM(F41:F43)</f>
        <v>#REF!</v>
      </c>
      <c r="G44" s="361" t="e">
        <f>SUM(G41:G43)+1</f>
        <v>#REF!</v>
      </c>
      <c r="H44" s="98"/>
    </row>
    <row r="45" spans="1:8" ht="16.5" thickTop="1">
      <c r="A45" s="110"/>
      <c r="D45" s="175"/>
      <c r="E45" s="175"/>
      <c r="F45" s="345"/>
      <c r="G45" s="99"/>
      <c r="H45" s="26"/>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9" customWidth="1"/>
    <col min="2" max="2" width="18.28125" style="324" customWidth="1"/>
    <col min="3" max="3" width="16.57421875" style="324" customWidth="1"/>
    <col min="4" max="4" width="16.140625" style="331" customWidth="1"/>
    <col min="5" max="5" width="18.421875" style="331" customWidth="1"/>
    <col min="6" max="6" width="18.28125" style="331" customWidth="1"/>
    <col min="7" max="7" width="0.5625" style="331" hidden="1" customWidth="1"/>
    <col min="8" max="8" width="16.7109375" style="331" customWidth="1"/>
    <col min="9" max="9" width="17.140625" style="19" bestFit="1" customWidth="1"/>
    <col min="10" max="10" width="13.8515625" style="19" bestFit="1" customWidth="1"/>
    <col min="11" max="11" width="11.7109375" style="19" bestFit="1" customWidth="1"/>
    <col min="12" max="16384" width="9.140625" style="19" customWidth="1"/>
  </cols>
  <sheetData>
    <row r="1" spans="1:8" s="265" customFormat="1" ht="27.75">
      <c r="A1" s="964" t="s">
        <v>260</v>
      </c>
      <c r="B1" s="964"/>
      <c r="C1" s="964"/>
      <c r="D1" s="964"/>
      <c r="E1" s="964"/>
      <c r="F1" s="964"/>
      <c r="G1" s="964"/>
      <c r="H1" s="964"/>
    </row>
    <row r="2" spans="1:8" ht="19.5" customHeight="1">
      <c r="A2" s="963"/>
      <c r="B2" s="963"/>
      <c r="C2" s="963"/>
      <c r="D2" s="963"/>
      <c r="E2" s="963"/>
      <c r="F2" s="963"/>
      <c r="G2" s="963"/>
      <c r="H2" s="963"/>
    </row>
    <row r="3" spans="1:8" s="105" customFormat="1" ht="18.75">
      <c r="A3" s="965" t="s">
        <v>395</v>
      </c>
      <c r="B3" s="965"/>
      <c r="C3" s="965"/>
      <c r="D3" s="965"/>
      <c r="E3" s="965"/>
      <c r="F3" s="965"/>
      <c r="G3" s="965"/>
      <c r="H3" s="965"/>
    </row>
    <row r="4" spans="1:8" s="105" customFormat="1" ht="18.75">
      <c r="A4" s="965" t="str">
        <f>+'(7)Premiums YTD8'!A4</f>
        <v>YTD PERIOD MARCH 31st, 2004</v>
      </c>
      <c r="B4" s="965"/>
      <c r="C4" s="965"/>
      <c r="D4" s="965"/>
      <c r="E4" s="965"/>
      <c r="F4" s="965"/>
      <c r="G4" s="965"/>
      <c r="H4" s="965"/>
    </row>
    <row r="5" spans="1:8" s="105" customFormat="1" ht="16.5">
      <c r="A5" s="516"/>
      <c r="B5" s="398"/>
      <c r="C5" s="398"/>
      <c r="D5" s="517"/>
      <c r="E5" s="517"/>
      <c r="F5" s="517"/>
      <c r="G5" s="399"/>
      <c r="H5" s="517"/>
    </row>
    <row r="6" spans="1:8" ht="30" customHeight="1">
      <c r="A6" s="518"/>
      <c r="B6" s="671" t="s">
        <v>41</v>
      </c>
      <c r="C6" s="671" t="s">
        <v>45</v>
      </c>
      <c r="D6" s="671" t="s">
        <v>145</v>
      </c>
      <c r="E6" s="671" t="s">
        <v>221</v>
      </c>
      <c r="F6" s="671" t="s">
        <v>99</v>
      </c>
      <c r="G6" s="672" t="s">
        <v>241</v>
      </c>
      <c r="H6" s="672" t="s">
        <v>261</v>
      </c>
    </row>
    <row r="7" spans="1:8" s="130" customFormat="1" ht="15.75">
      <c r="A7" s="667" t="s">
        <v>396</v>
      </c>
      <c r="B7" s="519"/>
      <c r="C7" s="519"/>
      <c r="D7" s="520"/>
      <c r="E7" s="520"/>
      <c r="F7" s="520"/>
      <c r="G7" s="520"/>
      <c r="H7" s="520"/>
    </row>
    <row r="8" spans="1:8" s="130" customFormat="1" ht="15">
      <c r="A8" s="667" t="s">
        <v>397</v>
      </c>
      <c r="B8" s="397"/>
      <c r="C8" s="397"/>
      <c r="D8" s="520"/>
      <c r="E8" s="520"/>
      <c r="F8" s="520"/>
      <c r="G8" s="520"/>
      <c r="H8" s="520"/>
    </row>
    <row r="9" spans="1:9" ht="15">
      <c r="A9" s="668" t="s">
        <v>398</v>
      </c>
      <c r="B9" s="342">
        <f>+'[1]TB03-31-04(Final)'!F368</f>
        <v>1626410.46</v>
      </c>
      <c r="C9" s="342">
        <f>+'[1]TB03-31-04(Final)'!F367+'[1]TB03-31-04(Final)'!F398</f>
        <v>1371608.06</v>
      </c>
      <c r="D9" s="342">
        <f>+'[1]TB03-31-04(Final)'!F366+'[1]TB03-31-04(Final)'!F397</f>
        <v>-4174.74</v>
      </c>
      <c r="E9" s="342">
        <f>+'[1]TB03-31-04(Final)'!F365</f>
        <v>59250</v>
      </c>
      <c r="F9" s="342">
        <f>SUM('[1]TB03-31-04(Final)'!F361:F364)+'[1]TB03-31-04(Final)'!G396</f>
        <v>-100</v>
      </c>
      <c r="G9" s="541">
        <f>SUM(D9:F9)</f>
        <v>54975.26</v>
      </c>
      <c r="H9" s="541">
        <f>SUM(B9:F9)</f>
        <v>3052993.78</v>
      </c>
      <c r="I9" s="26"/>
    </row>
    <row r="10" spans="1:8" s="24" customFormat="1" ht="15">
      <c r="A10" s="668" t="s">
        <v>399</v>
      </c>
      <c r="B10" s="342">
        <f>+'[1]TB03-31-04(Final)'!F376</f>
        <v>628151.78</v>
      </c>
      <c r="C10" s="342">
        <f>+'[1]TB03-31-04(Final)'!F375+'[1]TB03-31-04(Final)'!F403</f>
        <v>69982.57</v>
      </c>
      <c r="D10" s="342">
        <f>+'[1]TB03-31-04(Final)'!F374+'[1]TB03-31-04(Final)'!F402</f>
        <v>0</v>
      </c>
      <c r="E10" s="342">
        <f>+'[1]TB03-31-04(Final)'!F373</f>
        <v>0</v>
      </c>
      <c r="F10" s="342" t="e">
        <f>SUM('[1]TB03-31-04(Final)'!F370:F372)+'[1]TB03-31-04(Final)'!G400</f>
        <v>#REF!</v>
      </c>
      <c r="G10" s="342" t="e">
        <f>SUM(D10:F10)</f>
        <v>#REF!</v>
      </c>
      <c r="H10" s="342" t="e">
        <f>SUM(B10:F10)</f>
        <v>#REF!</v>
      </c>
    </row>
    <row r="11" spans="1:8" s="24" customFormat="1" ht="15">
      <c r="A11" s="668" t="s">
        <v>400</v>
      </c>
      <c r="B11" s="342">
        <f>+'[1]TB03-31-04(Final)'!F383</f>
        <v>1229</v>
      </c>
      <c r="C11" s="342" t="e">
        <f>+'[1]TB03-31-04(Final)'!F382+'[1]TB03-31-04(Final)'!F385</f>
        <v>#REF!</v>
      </c>
      <c r="D11" s="342" t="e">
        <f>+'[1]TB03-31-04(Final)'!F384</f>
        <v>#REF!</v>
      </c>
      <c r="E11" s="342">
        <v>0</v>
      </c>
      <c r="F11" s="342">
        <f>+'[1]TB03-31-04(Final)'!F381</f>
        <v>0</v>
      </c>
      <c r="G11" s="342" t="e">
        <f>SUM(D11:F11)</f>
        <v>#REF!</v>
      </c>
      <c r="H11" s="590" t="e">
        <f>SUM(B11:F11)</f>
        <v>#REF!</v>
      </c>
    </row>
    <row r="12" spans="1:10" s="24" customFormat="1" ht="15.75" thickBot="1">
      <c r="A12" s="514" t="s">
        <v>388</v>
      </c>
      <c r="B12" s="343">
        <f>SUM(B9:B11)</f>
        <v>2255791.24</v>
      </c>
      <c r="C12" s="343" t="e">
        <f>SUM(C9:C11)</f>
        <v>#REF!</v>
      </c>
      <c r="D12" s="343" t="e">
        <f>SUM(D9:D11)</f>
        <v>#REF!</v>
      </c>
      <c r="E12" s="343">
        <f>SUM(E9:E11)</f>
        <v>59250</v>
      </c>
      <c r="F12" s="343" t="e">
        <f>SUM(F9:F11)+1</f>
        <v>#REF!</v>
      </c>
      <c r="G12" s="343" t="e">
        <f>SUM(G9:G11)</f>
        <v>#REF!</v>
      </c>
      <c r="H12" s="132" t="e">
        <f>SUM(B12:F12)-1</f>
        <v>#REF!</v>
      </c>
      <c r="J12" s="375"/>
    </row>
    <row r="13" spans="1:10" s="24" customFormat="1" ht="15.75" thickTop="1">
      <c r="A13" s="521"/>
      <c r="B13" s="129"/>
      <c r="C13" s="129"/>
      <c r="D13" s="342"/>
      <c r="E13" s="342"/>
      <c r="F13" s="342"/>
      <c r="G13" s="342"/>
      <c r="H13" s="342"/>
      <c r="I13" s="24">
        <f>+'[1]TB03-31-04(Final)'!G407</f>
        <v>3783761.3799999994</v>
      </c>
      <c r="J13" s="24" t="e">
        <f>+H12-I13</f>
        <v>#REF!</v>
      </c>
    </row>
    <row r="14" spans="1:9" s="24" customFormat="1" ht="15">
      <c r="A14" s="514" t="s">
        <v>4</v>
      </c>
      <c r="B14" s="129"/>
      <c r="C14" s="129"/>
      <c r="D14" s="639"/>
      <c r="E14" s="639"/>
      <c r="F14" s="639"/>
      <c r="G14" s="342"/>
      <c r="H14" s="342"/>
      <c r="I14" s="290"/>
    </row>
    <row r="15" spans="1:8" s="24" customFormat="1" ht="15">
      <c r="A15" s="668" t="s">
        <v>401</v>
      </c>
      <c r="B15" s="342">
        <f>+'[1](1)IBNR Cal13'!E27</f>
        <v>5669000.165311479</v>
      </c>
      <c r="C15" s="342">
        <f>+'[1](1)IBNR Cal13'!E21</f>
        <v>388216.64</v>
      </c>
      <c r="D15" s="342">
        <f>+'[1](1)IBNR Cal13'!E15</f>
        <v>86015</v>
      </c>
      <c r="E15" s="342">
        <f>+'[1](1)IBNR Cal13'!E9</f>
        <v>93733</v>
      </c>
      <c r="F15" s="342" t="e">
        <f>+'[1](1)IBNR Cal13'!#REF!</f>
        <v>#REF!</v>
      </c>
      <c r="G15" s="342" t="e">
        <f>'[1](1)IBNR Cal13'!#REF!</f>
        <v>#REF!</v>
      </c>
      <c r="H15" s="342" t="e">
        <f>SUM(B15:F15)</f>
        <v>#REF!</v>
      </c>
    </row>
    <row r="16" spans="1:8" s="24" customFormat="1" ht="15">
      <c r="A16" s="668" t="s">
        <v>402</v>
      </c>
      <c r="B16" s="342">
        <f>+'[1](1)IBNR Cal13'!E28</f>
        <v>848086.9279600321</v>
      </c>
      <c r="C16" s="342">
        <f>+'[1](1)IBNR Cal13'!E22</f>
        <v>137574.07</v>
      </c>
      <c r="D16" s="342">
        <f>+'[1](1)IBNR Cal13'!E16</f>
        <v>6011</v>
      </c>
      <c r="E16" s="342">
        <v>0</v>
      </c>
      <c r="F16" s="342">
        <f>10</f>
        <v>10</v>
      </c>
      <c r="G16" s="342" t="e">
        <f>'[1](1)IBNR Cal13'!#REF!</f>
        <v>#REF!</v>
      </c>
      <c r="H16" s="342">
        <f>SUM(B16:F16)</f>
        <v>991681.9979600322</v>
      </c>
    </row>
    <row r="17" spans="1:8" s="24" customFormat="1" ht="15">
      <c r="A17" s="668" t="s">
        <v>403</v>
      </c>
      <c r="B17" s="342">
        <f>'[1](1)IBNR Cal13'!E29</f>
        <v>13148.069670959347</v>
      </c>
      <c r="C17" s="342">
        <f>'[1](1)IBNR Cal13'!E23</f>
        <v>0</v>
      </c>
      <c r="D17" s="342">
        <f>'[1](1)IBNR Cal13'!E17</f>
        <v>0</v>
      </c>
      <c r="E17" s="342">
        <f>+'[1](1)IBNR Cal13'!E11</f>
        <v>0</v>
      </c>
      <c r="F17" s="342" t="e">
        <f>+'[1](1)IBNR Cal13'!#REF!</f>
        <v>#REF!</v>
      </c>
      <c r="G17" s="342" t="e">
        <f>'[1](1)IBNR Cal13'!#REF!</f>
        <v>#REF!</v>
      </c>
      <c r="H17" s="342" t="e">
        <f>SUM(B17:F17)-1</f>
        <v>#REF!</v>
      </c>
    </row>
    <row r="18" spans="1:9" s="24" customFormat="1" ht="15.75" thickBot="1">
      <c r="A18" s="514" t="s">
        <v>388</v>
      </c>
      <c r="B18" s="343">
        <f>SUM(B15:B17)-1</f>
        <v>6530234.16294247</v>
      </c>
      <c r="C18" s="343">
        <f>SUM(C15:C17)</f>
        <v>525790.71</v>
      </c>
      <c r="D18" s="343">
        <f>SUM(D15:D17)</f>
        <v>92026</v>
      </c>
      <c r="E18" s="343">
        <f>SUM(E15:E17)</f>
        <v>93733</v>
      </c>
      <c r="F18" s="343" t="e">
        <f>SUM(F15:F17)</f>
        <v>#REF!</v>
      </c>
      <c r="G18" s="343" t="e">
        <f>SUM(G15:G17)</f>
        <v>#REF!</v>
      </c>
      <c r="H18" s="132" t="e">
        <f>SUM(B18:F18)</f>
        <v>#REF!</v>
      </c>
      <c r="I18" s="24">
        <f>+'[1](1)IBNR Cal13'!E42</f>
        <v>7846756.2299999995</v>
      </c>
    </row>
    <row r="19" spans="1:8" s="24" customFormat="1" ht="15.75" thickTop="1">
      <c r="A19" s="521"/>
      <c r="B19" s="129"/>
      <c r="C19" s="129"/>
      <c r="D19" s="342"/>
      <c r="E19" s="342"/>
      <c r="F19" s="342"/>
      <c r="G19" s="342"/>
      <c r="H19" s="342"/>
    </row>
    <row r="20" spans="1:8" s="24" customFormat="1" ht="15">
      <c r="A20" s="514" t="s">
        <v>208</v>
      </c>
      <c r="B20" s="323"/>
      <c r="C20" s="323"/>
      <c r="D20" s="342"/>
      <c r="E20" s="342"/>
      <c r="F20" s="342"/>
      <c r="G20" s="342"/>
      <c r="H20" s="342"/>
    </row>
    <row r="21" spans="1:8" s="24" customFormat="1" ht="15">
      <c r="A21" s="668" t="s">
        <v>401</v>
      </c>
      <c r="B21" s="129">
        <v>0</v>
      </c>
      <c r="C21" s="129">
        <v>3812746</v>
      </c>
      <c r="D21" s="342">
        <v>796384</v>
      </c>
      <c r="E21" s="342">
        <v>173012</v>
      </c>
      <c r="F21" s="342">
        <f>4+76330</f>
        <v>76334</v>
      </c>
      <c r="G21" s="342">
        <f>+'[2]Losses Incurred QTR'!$F$21</f>
        <v>149640.16</v>
      </c>
      <c r="H21" s="342">
        <f>SUM(B21:F21)</f>
        <v>4858476</v>
      </c>
    </row>
    <row r="22" spans="1:8" s="24" customFormat="1" ht="15">
      <c r="A22" s="668" t="s">
        <v>402</v>
      </c>
      <c r="B22" s="129">
        <v>0</v>
      </c>
      <c r="C22" s="129">
        <v>582573</v>
      </c>
      <c r="D22" s="342">
        <v>136274</v>
      </c>
      <c r="E22" s="342">
        <v>-982</v>
      </c>
      <c r="F22" s="342">
        <f>366+1967</f>
        <v>2333</v>
      </c>
      <c r="G22" s="342">
        <f>+'[2]Losses Incurred QTR'!$F$22</f>
        <v>60667.2</v>
      </c>
      <c r="H22" s="342">
        <f>SUM(B22:F22)-1</f>
        <v>720197</v>
      </c>
    </row>
    <row r="23" spans="1:8" s="24" customFormat="1" ht="15">
      <c r="A23" s="668" t="s">
        <v>403</v>
      </c>
      <c r="B23" s="129">
        <v>0</v>
      </c>
      <c r="C23" s="129">
        <v>8804</v>
      </c>
      <c r="D23" s="342">
        <v>0</v>
      </c>
      <c r="E23" s="342">
        <v>0</v>
      </c>
      <c r="F23" s="342">
        <v>0</v>
      </c>
      <c r="G23" s="342">
        <f>+'[2]Losses Incurred QTR'!$F$23</f>
        <v>-8764</v>
      </c>
      <c r="H23" s="342">
        <f>SUM(B23:F23)</f>
        <v>8804</v>
      </c>
    </row>
    <row r="24" spans="1:9" s="24" customFormat="1" ht="15.75" thickBot="1">
      <c r="A24" s="514" t="s">
        <v>388</v>
      </c>
      <c r="B24" s="141">
        <f aca="true" t="shared" si="0" ref="B24:G24">SUM(B21:B23)</f>
        <v>0</v>
      </c>
      <c r="C24" s="141">
        <f t="shared" si="0"/>
        <v>4404123</v>
      </c>
      <c r="D24" s="343">
        <f t="shared" si="0"/>
        <v>932658</v>
      </c>
      <c r="E24" s="343">
        <f t="shared" si="0"/>
        <v>172030</v>
      </c>
      <c r="F24" s="343">
        <f t="shared" si="0"/>
        <v>78667</v>
      </c>
      <c r="G24" s="343">
        <f t="shared" si="0"/>
        <v>201543.36</v>
      </c>
      <c r="H24" s="132">
        <f>SUM(B24:F24)-1</f>
        <v>5587477</v>
      </c>
      <c r="I24" s="24">
        <f>SUM(H21:H23)</f>
        <v>5587477</v>
      </c>
    </row>
    <row r="25" spans="1:9" s="24" customFormat="1" ht="15.75" thickTop="1">
      <c r="A25" s="521"/>
      <c r="B25" s="129"/>
      <c r="C25" s="129"/>
      <c r="D25" s="342"/>
      <c r="E25" s="342"/>
      <c r="F25" s="342"/>
      <c r="G25" s="342"/>
      <c r="H25" s="342"/>
      <c r="I25" s="24">
        <f>+I18-I24</f>
        <v>2259279.2299999995</v>
      </c>
    </row>
    <row r="26" spans="1:9" s="24" customFormat="1" ht="15">
      <c r="A26" s="514" t="s">
        <v>439</v>
      </c>
      <c r="B26" s="129"/>
      <c r="C26" s="129"/>
      <c r="D26" s="342"/>
      <c r="E26" s="342"/>
      <c r="F26" s="342"/>
      <c r="G26" s="342"/>
      <c r="H26" s="342"/>
      <c r="I26" s="24" t="e">
        <f>+H12+I25</f>
        <v>#REF!</v>
      </c>
    </row>
    <row r="27" spans="1:8" s="24" customFormat="1" ht="15">
      <c r="A27" s="668" t="s">
        <v>401</v>
      </c>
      <c r="B27" s="129">
        <f>B9+(B15-B21)</f>
        <v>7295410.625311479</v>
      </c>
      <c r="C27" s="129">
        <f>C9+(C15-C21)</f>
        <v>-2052921.2999999998</v>
      </c>
      <c r="D27" s="342">
        <f aca="true" t="shared" si="1" ref="D27:E29">D9+(D15-D21)</f>
        <v>-714543.74</v>
      </c>
      <c r="E27" s="342">
        <f t="shared" si="1"/>
        <v>-20029</v>
      </c>
      <c r="F27" s="342" t="e">
        <f aca="true" t="shared" si="2" ref="F27:G29">F9+(F15-F21)</f>
        <v>#REF!</v>
      </c>
      <c r="G27" s="342" t="e">
        <f t="shared" si="2"/>
        <v>#REF!</v>
      </c>
      <c r="H27" s="342" t="e">
        <f>SUM(B27:F27)+1</f>
        <v>#REF!</v>
      </c>
    </row>
    <row r="28" spans="1:8" s="24" customFormat="1" ht="15">
      <c r="A28" s="668" t="s">
        <v>402</v>
      </c>
      <c r="B28" s="129">
        <f>B10+(B16-B22)</f>
        <v>1476238.7079600322</v>
      </c>
      <c r="C28" s="129">
        <f>C10+(C16-C22)</f>
        <v>-375016.36</v>
      </c>
      <c r="D28" s="342">
        <f t="shared" si="1"/>
        <v>-130263</v>
      </c>
      <c r="E28" s="342">
        <f t="shared" si="1"/>
        <v>982</v>
      </c>
      <c r="F28" s="342" t="e">
        <f t="shared" si="2"/>
        <v>#REF!</v>
      </c>
      <c r="G28" s="342" t="e">
        <f t="shared" si="2"/>
        <v>#REF!</v>
      </c>
      <c r="H28" s="342" t="e">
        <f>SUM(B28:F28)</f>
        <v>#REF!</v>
      </c>
    </row>
    <row r="29" spans="1:8" s="24" customFormat="1" ht="15">
      <c r="A29" s="668" t="s">
        <v>403</v>
      </c>
      <c r="B29" s="548">
        <f>B11+(B17-B23)</f>
        <v>14377.069670959347</v>
      </c>
      <c r="C29" s="548" t="e">
        <f>C11+(C17-C23)-1</f>
        <v>#REF!</v>
      </c>
      <c r="D29" s="342" t="e">
        <f t="shared" si="1"/>
        <v>#REF!</v>
      </c>
      <c r="E29" s="342">
        <f t="shared" si="1"/>
        <v>0</v>
      </c>
      <c r="F29" s="342" t="e">
        <f t="shared" si="2"/>
        <v>#REF!</v>
      </c>
      <c r="G29" s="342" t="e">
        <f t="shared" si="2"/>
        <v>#REF!</v>
      </c>
      <c r="H29" s="342" t="e">
        <f>SUM(B29:F29)</f>
        <v>#REF!</v>
      </c>
    </row>
    <row r="30" spans="1:10" ht="15.75" thickBot="1">
      <c r="A30" s="514" t="s">
        <v>388</v>
      </c>
      <c r="B30" s="361">
        <f aca="true" t="shared" si="3" ref="B30:G30">SUM(B27:B29)</f>
        <v>8786026.40294247</v>
      </c>
      <c r="C30" s="361" t="e">
        <f>SUM(C27:C29)</f>
        <v>#REF!</v>
      </c>
      <c r="D30" s="361" t="e">
        <f>SUM(D27:D29)+1</f>
        <v>#REF!</v>
      </c>
      <c r="E30" s="361">
        <f t="shared" si="3"/>
        <v>-19047</v>
      </c>
      <c r="F30" s="361" t="e">
        <f>SUM(F27:F29)+1</f>
        <v>#REF!</v>
      </c>
      <c r="G30" s="361" t="e">
        <f t="shared" si="3"/>
        <v>#REF!</v>
      </c>
      <c r="H30" s="361" t="e">
        <f>SUM(H27:H29)-1</f>
        <v>#REF!</v>
      </c>
      <c r="I30" s="116" t="e">
        <f>SUM(H27:H29)</f>
        <v>#REF!</v>
      </c>
      <c r="J30" s="111"/>
    </row>
    <row r="31" spans="1:10" ht="15.75" thickTop="1">
      <c r="A31" s="518"/>
      <c r="B31" s="617"/>
      <c r="C31" s="617"/>
      <c r="D31" s="617"/>
      <c r="E31" s="617"/>
      <c r="F31" s="617"/>
      <c r="G31" s="617"/>
      <c r="H31" s="617"/>
      <c r="I31" s="116" t="e">
        <f>+I26-I30</f>
        <v>#REF!</v>
      </c>
      <c r="J31" s="111"/>
    </row>
    <row r="32" spans="1:10" ht="15">
      <c r="A32" s="518"/>
      <c r="B32" s="617"/>
      <c r="C32" s="617"/>
      <c r="D32" s="617"/>
      <c r="E32" s="617"/>
      <c r="F32" s="617"/>
      <c r="G32" s="617"/>
      <c r="H32" s="617"/>
      <c r="I32" s="116"/>
      <c r="J32" s="111"/>
    </row>
    <row r="33" spans="1:9" ht="29.25">
      <c r="A33" s="518"/>
      <c r="B33" s="673" t="s">
        <v>41</v>
      </c>
      <c r="C33" s="673" t="s">
        <v>45</v>
      </c>
      <c r="D33" s="674" t="s">
        <v>20</v>
      </c>
      <c r="E33" s="617"/>
      <c r="F33" s="617"/>
      <c r="G33" s="617"/>
      <c r="I33" s="112">
        <f>+'[1]TB03-31-04(Final)'!G462</f>
        <v>4105799.4900000007</v>
      </c>
    </row>
    <row r="34" spans="1:7" ht="18" customHeight="1">
      <c r="A34" s="669" t="s">
        <v>405</v>
      </c>
      <c r="B34" s="636"/>
      <c r="C34" s="636"/>
      <c r="D34" s="637"/>
      <c r="E34" s="637"/>
      <c r="F34" s="637"/>
      <c r="G34" s="541"/>
    </row>
    <row r="35" spans="1:7" ht="15">
      <c r="A35" s="668" t="s">
        <v>401</v>
      </c>
      <c r="B35" s="535">
        <f>+'[1](1)IBNR Cal13'!C27</f>
        <v>929888.0153114785</v>
      </c>
      <c r="C35" s="129">
        <v>0</v>
      </c>
      <c r="D35" s="375">
        <f>SUM(B35:C35)</f>
        <v>929888.0153114785</v>
      </c>
      <c r="E35" s="375"/>
      <c r="F35" s="375"/>
      <c r="G35" s="115"/>
    </row>
    <row r="36" spans="1:7" ht="15">
      <c r="A36" s="668" t="s">
        <v>402</v>
      </c>
      <c r="B36" s="129">
        <f>+'[1](1)IBNR Cal13'!C28</f>
        <v>302248.25796003203</v>
      </c>
      <c r="C36" s="129">
        <v>0</v>
      </c>
      <c r="D36" s="125">
        <f>SUM(B36:C36)</f>
        <v>302248.25796003203</v>
      </c>
      <c r="E36" s="314"/>
      <c r="F36" s="314"/>
      <c r="G36" s="125"/>
    </row>
    <row r="37" spans="1:7" ht="15">
      <c r="A37" s="668" t="s">
        <v>403</v>
      </c>
      <c r="B37" s="129">
        <f>+'[1](1)IBNR Cal13'!C29</f>
        <v>4148.069670959347</v>
      </c>
      <c r="C37" s="129">
        <v>0</v>
      </c>
      <c r="D37" s="125">
        <f>SUM(B37:C37)</f>
        <v>4148.069670959347</v>
      </c>
      <c r="E37" s="314"/>
      <c r="F37" s="314"/>
      <c r="G37" s="125"/>
    </row>
    <row r="38" spans="1:7" ht="15.75" thickBot="1">
      <c r="A38" s="514" t="s">
        <v>388</v>
      </c>
      <c r="B38" s="361">
        <f>SUM(B35:B37)</f>
        <v>1236284.34294247</v>
      </c>
      <c r="C38" s="132">
        <f>SUM(C35:C37)</f>
        <v>0</v>
      </c>
      <c r="D38" s="361">
        <f>SUM(D35:D37)+1</f>
        <v>1236285.34294247</v>
      </c>
      <c r="E38" s="638"/>
      <c r="F38" s="638"/>
      <c r="G38" s="115"/>
    </row>
    <row r="39" spans="1:9" ht="15.75" hidden="1" thickTop="1">
      <c r="A39" s="110"/>
      <c r="B39" s="327"/>
      <c r="C39" s="327"/>
      <c r="D39" s="327"/>
      <c r="E39" s="330"/>
      <c r="F39" s="330"/>
      <c r="G39" s="326"/>
      <c r="H39" s="328"/>
      <c r="I39" s="254"/>
    </row>
    <row r="40" spans="1:9" ht="15.75" thickTop="1">
      <c r="A40" s="110"/>
      <c r="B40" s="327"/>
      <c r="C40" s="327"/>
      <c r="D40" s="327"/>
      <c r="E40" s="330"/>
      <c r="F40" s="330"/>
      <c r="G40" s="326"/>
      <c r="H40" s="328"/>
      <c r="I40" s="254"/>
    </row>
    <row r="41" spans="1:9" ht="31.5" customHeight="1">
      <c r="A41" s="107"/>
      <c r="B41" s="333"/>
      <c r="C41" s="333"/>
      <c r="D41" s="333"/>
      <c r="E41" s="333"/>
      <c r="F41" s="333"/>
      <c r="G41" s="334"/>
      <c r="H41" s="334"/>
      <c r="I41" s="254"/>
    </row>
    <row r="42" spans="4:9" ht="15.75">
      <c r="D42" s="329"/>
      <c r="E42" s="329"/>
      <c r="G42" s="326"/>
      <c r="H42" s="326"/>
      <c r="I42" s="255"/>
    </row>
    <row r="43" spans="1:9" ht="12.75" customHeight="1">
      <c r="A43" s="108"/>
      <c r="B43" s="325"/>
      <c r="C43" s="325"/>
      <c r="D43" s="325"/>
      <c r="E43" s="325"/>
      <c r="F43" s="325"/>
      <c r="G43" s="326"/>
      <c r="H43" s="326"/>
      <c r="I43" s="98"/>
    </row>
    <row r="44" spans="1:9" ht="12.75" customHeight="1">
      <c r="A44" s="108"/>
      <c r="B44" s="325"/>
      <c r="C44" s="325"/>
      <c r="D44" s="325"/>
      <c r="E44" s="325"/>
      <c r="F44" s="325"/>
      <c r="G44" s="326"/>
      <c r="H44" s="326"/>
      <c r="I44" s="98"/>
    </row>
    <row r="45" spans="1:9" ht="15">
      <c r="A45" s="108"/>
      <c r="B45" s="325"/>
      <c r="C45" s="325"/>
      <c r="D45" s="325"/>
      <c r="E45" s="325"/>
      <c r="F45" s="325"/>
      <c r="G45" s="326"/>
      <c r="H45" s="326"/>
      <c r="I45" s="98"/>
    </row>
    <row r="46" spans="1:9" ht="15.75" thickBot="1">
      <c r="A46" s="110"/>
      <c r="B46" s="361"/>
      <c r="C46" s="361"/>
      <c r="D46" s="361"/>
      <c r="E46" s="361"/>
      <c r="F46" s="361"/>
      <c r="G46" s="369"/>
      <c r="H46" s="361"/>
      <c r="I46" s="98"/>
    </row>
    <row r="47" spans="1:9" ht="16.5" thickTop="1">
      <c r="A47" s="108"/>
      <c r="G47" s="326"/>
      <c r="H47" s="326"/>
      <c r="I47" s="98"/>
    </row>
    <row r="48" spans="1:9" ht="15.75">
      <c r="A48" s="110"/>
      <c r="F48" s="328"/>
      <c r="G48" s="326"/>
      <c r="H48" s="326"/>
      <c r="I48" s="98"/>
    </row>
    <row r="50" spans="4:6" ht="15.75">
      <c r="D50" s="332" t="s">
        <v>135</v>
      </c>
      <c r="E50" s="332" t="s">
        <v>135</v>
      </c>
      <c r="F50" s="332" t="s">
        <v>135</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9" customWidth="1"/>
    <col min="2" max="2" width="19.57421875" style="19" customWidth="1"/>
    <col min="3" max="3" width="17.8515625" style="175" customWidth="1"/>
    <col min="4" max="4" width="16.28125" style="130" customWidth="1"/>
    <col min="5" max="5" width="16.7109375" style="130" customWidth="1"/>
    <col min="6" max="6" width="17.421875" style="130" customWidth="1"/>
    <col min="7" max="7" width="15.57421875" style="151" hidden="1" customWidth="1"/>
    <col min="8" max="8" width="17.421875" style="130" customWidth="1"/>
    <col min="9" max="9" width="13.57421875" style="26" customWidth="1"/>
    <col min="10" max="10" width="11.8515625" style="19" customWidth="1"/>
    <col min="11" max="11" width="9.57421875" style="19" bestFit="1" customWidth="1"/>
    <col min="12" max="16384" width="9.140625" style="19" customWidth="1"/>
  </cols>
  <sheetData>
    <row r="1" spans="1:8" s="261" customFormat="1" ht="26.25">
      <c r="A1" s="522" t="s">
        <v>260</v>
      </c>
      <c r="B1" s="522"/>
      <c r="C1" s="478"/>
      <c r="D1" s="523"/>
      <c r="E1" s="523"/>
      <c r="F1" s="524"/>
      <c r="G1" s="524"/>
      <c r="H1" s="524"/>
    </row>
    <row r="2" spans="1:9" ht="18.75">
      <c r="A2" s="480"/>
      <c r="B2" s="480"/>
      <c r="C2" s="507"/>
      <c r="D2" s="507"/>
      <c r="E2" s="507"/>
      <c r="F2" s="481"/>
      <c r="G2" s="469"/>
      <c r="H2" s="469"/>
      <c r="I2" s="19"/>
    </row>
    <row r="3" spans="1:9" ht="15">
      <c r="A3" s="525" t="s">
        <v>406</v>
      </c>
      <c r="B3" s="525"/>
      <c r="C3" s="484"/>
      <c r="D3" s="526"/>
      <c r="E3" s="526"/>
      <c r="F3" s="469"/>
      <c r="G3" s="469"/>
      <c r="H3" s="469"/>
      <c r="I3" s="19"/>
    </row>
    <row r="4" spans="1:9" ht="15">
      <c r="A4" s="525" t="s">
        <v>407</v>
      </c>
      <c r="B4" s="525"/>
      <c r="C4" s="484"/>
      <c r="D4" s="526"/>
      <c r="E4" s="526"/>
      <c r="F4" s="469"/>
      <c r="G4" s="469"/>
      <c r="H4" s="469"/>
      <c r="I4" s="19"/>
    </row>
    <row r="5" spans="1:9" ht="15">
      <c r="A5" s="525" t="str">
        <f>+'(6)Losses Incurred YTD10'!A4</f>
        <v>YTD PERIOD MARCH 31st, 2004</v>
      </c>
      <c r="B5" s="525"/>
      <c r="C5" s="484"/>
      <c r="D5" s="526"/>
      <c r="E5" s="526"/>
      <c r="F5" s="469"/>
      <c r="G5" s="469"/>
      <c r="H5" s="469"/>
      <c r="I5" s="19"/>
    </row>
    <row r="6" spans="1:9" ht="15.75">
      <c r="A6" s="527"/>
      <c r="B6" s="527"/>
      <c r="C6" s="512"/>
      <c r="D6" s="469"/>
      <c r="E6" s="469"/>
      <c r="F6" s="469"/>
      <c r="G6" s="469"/>
      <c r="H6" s="469"/>
      <c r="I6" s="19"/>
    </row>
    <row r="7" spans="1:9" ht="29.25">
      <c r="A7" s="528"/>
      <c r="B7" s="395" t="s">
        <v>41</v>
      </c>
      <c r="C7" s="395" t="s">
        <v>45</v>
      </c>
      <c r="D7" s="529" t="s">
        <v>145</v>
      </c>
      <c r="E7" s="529" t="s">
        <v>221</v>
      </c>
      <c r="F7" s="529" t="s">
        <v>99</v>
      </c>
      <c r="G7" s="529" t="s">
        <v>241</v>
      </c>
      <c r="H7" s="530" t="s">
        <v>261</v>
      </c>
      <c r="I7" s="19"/>
    </row>
    <row r="8" spans="1:9" ht="29.25">
      <c r="A8" s="531" t="s">
        <v>408</v>
      </c>
      <c r="B8" s="394"/>
      <c r="C8" s="394"/>
      <c r="D8" s="404"/>
      <c r="E8" s="404"/>
      <c r="F8" s="404"/>
      <c r="G8" s="404"/>
      <c r="H8" s="532"/>
      <c r="I8" s="19"/>
    </row>
    <row r="9" spans="1:39" ht="15">
      <c r="A9" s="391" t="s">
        <v>385</v>
      </c>
      <c r="B9" s="375">
        <f>+'(1)ULEP-YTD17'!G41</f>
        <v>148427.47</v>
      </c>
      <c r="C9" s="375">
        <f>+'(1)ULEP-YTD17'!G35</f>
        <v>91951.54000000001</v>
      </c>
      <c r="D9" s="375">
        <f>+'(1)ULEP-YTD17'!G29</f>
        <v>784</v>
      </c>
      <c r="E9" s="375">
        <f>+'(1)ULEP-YTD17'!G23</f>
        <v>3187.02</v>
      </c>
      <c r="F9" s="375" t="e">
        <f>+'(1)ULEP-YTD17'!G17</f>
        <v>#REF!</v>
      </c>
      <c r="G9" s="375" t="e">
        <f>#REF!+#REF!</f>
        <v>#REF!</v>
      </c>
      <c r="H9" s="375" t="e">
        <f>SUM(B9:F9)</f>
        <v>#REF!</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row>
    <row r="10" spans="1:39" s="24" customFormat="1" ht="15">
      <c r="A10" s="396" t="s">
        <v>386</v>
      </c>
      <c r="B10" s="125">
        <f>+'(1)ULEP-YTD17'!G42</f>
        <v>145662.99</v>
      </c>
      <c r="C10" s="125">
        <f>+'(1)ULEP-YTD17'!G36</f>
        <v>39257.229999999996</v>
      </c>
      <c r="D10" s="125">
        <f>+'(1)ULEP-YTD17'!G30</f>
        <v>254</v>
      </c>
      <c r="E10" s="125">
        <f>+'(1)ULEP-YTD17'!G24</f>
        <v>0</v>
      </c>
      <c r="F10" s="125" t="e">
        <f>+'(1)ULEP-YTD17'!G18</f>
        <v>#REF!</v>
      </c>
      <c r="G10" s="125" t="e">
        <f>#REF!+#REF!</f>
        <v>#REF!</v>
      </c>
      <c r="H10" s="125" t="e">
        <f>SUM(B10:F10)</f>
        <v>#REF!</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1:39" s="24" customFormat="1" ht="15">
      <c r="A11" s="396" t="s">
        <v>387</v>
      </c>
      <c r="B11" s="125">
        <f>+'(1)ULEP-YTD17'!F43</f>
        <v>45.77</v>
      </c>
      <c r="C11" s="125">
        <f>+'(1)ULEP-YTD17'!G37</f>
        <v>0</v>
      </c>
      <c r="D11" s="125">
        <v>0</v>
      </c>
      <c r="E11" s="125">
        <f>+'(1)ULEP-YTD17'!G31</f>
        <v>1047.62</v>
      </c>
      <c r="F11" s="125">
        <f>+'(1)ULEP-YTD17'!G25</f>
        <v>-374.81</v>
      </c>
      <c r="G11" s="125">
        <v>0</v>
      </c>
      <c r="H11" s="125">
        <f>SUM(B11:F11)</f>
        <v>718.5799999999999</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1:39" s="24" customFormat="1" ht="15.75" thickBot="1">
      <c r="A12" s="533" t="s">
        <v>388</v>
      </c>
      <c r="B12" s="343">
        <f aca="true" t="shared" si="0" ref="B12:G12">SUM(B9:B11)</f>
        <v>294136.23</v>
      </c>
      <c r="C12" s="343">
        <f t="shared" si="0"/>
        <v>131208.77000000002</v>
      </c>
      <c r="D12" s="343">
        <f t="shared" si="0"/>
        <v>1038</v>
      </c>
      <c r="E12" s="343">
        <f t="shared" si="0"/>
        <v>4234.639999999999</v>
      </c>
      <c r="F12" s="343" t="e">
        <f t="shared" si="0"/>
        <v>#REF!</v>
      </c>
      <c r="G12" s="343" t="e">
        <f t="shared" si="0"/>
        <v>#REF!</v>
      </c>
      <c r="H12" s="132" t="e">
        <f>SUM(B12:F12)</f>
        <v>#REF!</v>
      </c>
      <c r="I12" s="113" t="e">
        <f>+'(1)ULEP-YTD17'!G49</f>
        <v>#REF!</v>
      </c>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1:39" s="24" customFormat="1" ht="15.75" thickTop="1">
      <c r="A13" s="391"/>
      <c r="B13" s="129"/>
      <c r="C13" s="129"/>
      <c r="D13" s="125"/>
      <c r="E13" s="125"/>
      <c r="F13" s="125"/>
      <c r="G13" s="125"/>
      <c r="H13" s="125"/>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row>
    <row r="14" spans="1:39" s="24" customFormat="1" ht="29.25">
      <c r="A14" s="534" t="s">
        <v>6</v>
      </c>
      <c r="B14" s="129"/>
      <c r="C14" s="129"/>
      <c r="D14" s="125"/>
      <c r="E14" s="125"/>
      <c r="F14" s="125"/>
      <c r="G14" s="125"/>
      <c r="H14" s="125"/>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row>
    <row r="15" spans="1:39" s="24" customFormat="1" ht="15">
      <c r="A15" s="391" t="s">
        <v>385</v>
      </c>
      <c r="B15" s="125">
        <f>'[1](3)Cal. UPLR14'!C30</f>
        <v>600445.509405</v>
      </c>
      <c r="C15" s="125">
        <f>'[1](3)Cal. UPLR14'!D30</f>
        <v>49187.048288</v>
      </c>
      <c r="D15" s="125">
        <f>'[1](3)Cal. UPLR14'!E30</f>
        <v>10898.1005</v>
      </c>
      <c r="E15" s="125">
        <f>'[1](3)Cal. UPLR14'!F30</f>
        <v>11875.9711</v>
      </c>
      <c r="F15" s="129" t="e">
        <f>'[1](3)Cal. UPLR14'!#REF!</f>
        <v>#REF!</v>
      </c>
      <c r="G15" s="125" t="e">
        <f>'[1](3)Cal. UPLR14'!#REF!</f>
        <v>#REF!</v>
      </c>
      <c r="H15" s="125" t="e">
        <f>SUM(B15:F15)</f>
        <v>#REF!</v>
      </c>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row>
    <row r="16" spans="1:39" s="24" customFormat="1" ht="15">
      <c r="A16" s="396" t="s">
        <v>386</v>
      </c>
      <c r="B16" s="125">
        <f>'[1](3)Cal. UPLR14'!C31</f>
        <v>69157.759489</v>
      </c>
      <c r="C16" s="125">
        <f>'[1](3)Cal. UPLR14'!D31</f>
        <v>17430.634669</v>
      </c>
      <c r="D16" s="125">
        <f>'[1](3)Cal. UPLR14'!E31+1</f>
        <v>762.5936999999999</v>
      </c>
      <c r="E16" s="125">
        <v>0</v>
      </c>
      <c r="F16" s="125">
        <v>0</v>
      </c>
      <c r="G16" s="125" t="e">
        <f>'[1](3)Cal. UPLR14'!#REF!</f>
        <v>#REF!</v>
      </c>
      <c r="H16" s="125">
        <f>SUM(B16:F16)</f>
        <v>87350.98785800001</v>
      </c>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row>
    <row r="17" spans="1:39" s="24" customFormat="1" ht="15">
      <c r="A17" s="396" t="s">
        <v>387</v>
      </c>
      <c r="B17" s="125">
        <f>'[1](3)Cal. UPLR14'!C32</f>
        <v>1140.3</v>
      </c>
      <c r="C17" s="125">
        <f>'[1](3)Cal. UPLR14'!D32</f>
        <v>0</v>
      </c>
      <c r="D17" s="125">
        <f>'[1](3)Cal. UPLR14'!E32</f>
        <v>0</v>
      </c>
      <c r="E17" s="125">
        <f>'[1](3)Cal. UPLR14'!F32</f>
        <v>0</v>
      </c>
      <c r="F17" s="125" t="e">
        <f>'[1](3)Cal. UPLR14'!#REF!</f>
        <v>#REF!</v>
      </c>
      <c r="G17" s="125" t="e">
        <f>'[1](3)Cal. UPLR14'!#REF!</f>
        <v>#REF!</v>
      </c>
      <c r="H17" s="125" t="e">
        <f>SUM(B17:F17)</f>
        <v>#REF!</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row>
    <row r="18" spans="1:39" s="24" customFormat="1" ht="15.75" thickBot="1">
      <c r="A18" s="533" t="s">
        <v>388</v>
      </c>
      <c r="B18" s="343">
        <f>'[1](3)Cal. UPLR14'!C33</f>
        <v>670743.568894</v>
      </c>
      <c r="C18" s="343">
        <f>'[1](3)Cal. UPLR14'!D33</f>
        <v>66617.682957</v>
      </c>
      <c r="D18" s="343">
        <f>'[1](3)Cal. UPLR14'!E33</f>
        <v>11659.6942</v>
      </c>
      <c r="E18" s="343">
        <f>'[1](3)Cal. UPLR14'!F33</f>
        <v>11876.9847</v>
      </c>
      <c r="F18" s="343" t="e">
        <f>'[1](3)Cal. UPLR14'!#REF!</f>
        <v>#REF!</v>
      </c>
      <c r="G18" s="343" t="e">
        <f>'[1](3)Cal. UPLR14'!#REF!</f>
        <v>#REF!</v>
      </c>
      <c r="H18" s="132" t="e">
        <f>SUM(B18:F18)</f>
        <v>#REF!</v>
      </c>
      <c r="I18" s="113">
        <f>+'[1](3)Cal. UPLR14'!G33</f>
        <v>785337.2508590003</v>
      </c>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39" s="24" customFormat="1" ht="15.75" thickTop="1">
      <c r="A19" s="391"/>
      <c r="B19" s="129"/>
      <c r="C19" s="129"/>
      <c r="D19" s="125"/>
      <c r="E19" s="125"/>
      <c r="F19" s="125"/>
      <c r="G19" s="125"/>
      <c r="H19" s="125"/>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39" s="24" customFormat="1" ht="29.25">
      <c r="A20" s="534" t="s">
        <v>207</v>
      </c>
      <c r="B20" s="323" t="s">
        <v>259</v>
      </c>
      <c r="C20" s="323" t="s">
        <v>259</v>
      </c>
      <c r="D20" s="641"/>
      <c r="E20" s="641"/>
      <c r="F20" s="641"/>
      <c r="G20" s="125"/>
      <c r="H20" s="125"/>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1" spans="1:39" s="24" customFormat="1" ht="15">
      <c r="A21" s="391" t="s">
        <v>385</v>
      </c>
      <c r="B21" s="129">
        <v>0</v>
      </c>
      <c r="C21" s="129">
        <v>317463</v>
      </c>
      <c r="D21" s="129">
        <v>88558</v>
      </c>
      <c r="E21" s="125">
        <v>19239</v>
      </c>
      <c r="F21" s="125">
        <v>8488</v>
      </c>
      <c r="G21" s="125">
        <f>+'[2]Loss Expenses QTR'!$F$21</f>
        <v>15667.324752000002</v>
      </c>
      <c r="H21" s="125">
        <f>SUM(B21:F21)</f>
        <v>433748</v>
      </c>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row>
    <row r="22" spans="1:39" s="24" customFormat="1" ht="15">
      <c r="A22" s="396" t="s">
        <v>409</v>
      </c>
      <c r="B22" s="129">
        <v>0</v>
      </c>
      <c r="C22" s="129">
        <v>25508</v>
      </c>
      <c r="D22" s="129">
        <v>15154</v>
      </c>
      <c r="E22" s="125">
        <v>-109</v>
      </c>
      <c r="F22" s="125">
        <f>41+219</f>
        <v>260</v>
      </c>
      <c r="G22" s="125">
        <f>+'[2]Loss Expenses QTR'!$F$22</f>
        <v>6351.855840000001</v>
      </c>
      <c r="H22" s="125">
        <f>SUM(B22:F22)-2</f>
        <v>40811</v>
      </c>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row>
    <row r="23" spans="1:39" s="24" customFormat="1" ht="15">
      <c r="A23" s="396" t="s">
        <v>387</v>
      </c>
      <c r="B23" s="129">
        <v>0</v>
      </c>
      <c r="C23" s="129">
        <v>278</v>
      </c>
      <c r="D23" s="129">
        <v>0</v>
      </c>
      <c r="E23" s="125">
        <v>0</v>
      </c>
      <c r="F23" s="125">
        <f>+'[3]Loss Expenses YTD (pg 12)'!$C$17</f>
        <v>0</v>
      </c>
      <c r="G23" s="125">
        <f>+'[2]Loss Expenses QTR'!$F$23</f>
        <v>-917.5908000000001</v>
      </c>
      <c r="H23" s="125">
        <f>SUM(B23:F23)</f>
        <v>278</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row>
    <row r="24" spans="1:39" s="24" customFormat="1" ht="15.75" thickBot="1">
      <c r="A24" s="533" t="s">
        <v>388</v>
      </c>
      <c r="B24" s="141">
        <f aca="true" t="shared" si="1" ref="B24:G24">SUM(B21:B23)</f>
        <v>0</v>
      </c>
      <c r="C24" s="141">
        <f t="shared" si="1"/>
        <v>343249</v>
      </c>
      <c r="D24" s="141">
        <f t="shared" si="1"/>
        <v>103712</v>
      </c>
      <c r="E24" s="343">
        <f t="shared" si="1"/>
        <v>19130</v>
      </c>
      <c r="F24" s="343">
        <f t="shared" si="1"/>
        <v>8748</v>
      </c>
      <c r="G24" s="343">
        <f t="shared" si="1"/>
        <v>21101.589792000002</v>
      </c>
      <c r="H24" s="132">
        <f>SUM(B24:F24)-2</f>
        <v>474837</v>
      </c>
      <c r="I24" s="113">
        <f>SUM(H21:H23)</f>
        <v>474837</v>
      </c>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row>
    <row r="25" spans="1:39" s="24" customFormat="1" ht="15.75" thickTop="1">
      <c r="A25" s="391"/>
      <c r="B25" s="129"/>
      <c r="C25" s="129"/>
      <c r="D25" s="125"/>
      <c r="E25" s="125"/>
      <c r="F25" s="125"/>
      <c r="G25" s="125"/>
      <c r="H25" s="125"/>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row>
    <row r="26" spans="1:39" s="24" customFormat="1" ht="29.25">
      <c r="A26" s="534" t="s">
        <v>410</v>
      </c>
      <c r="B26" s="129"/>
      <c r="C26" s="129"/>
      <c r="D26" s="641"/>
      <c r="E26" s="641"/>
      <c r="F26" s="641"/>
      <c r="G26" s="125"/>
      <c r="H26" s="125"/>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row>
    <row r="27" spans="1:39" s="24" customFormat="1" ht="15">
      <c r="A27" s="391" t="s">
        <v>385</v>
      </c>
      <c r="B27" s="125">
        <f aca="true" t="shared" si="2" ref="B27:C29">B9+B15-B21</f>
        <v>748872.979405</v>
      </c>
      <c r="C27" s="125">
        <f t="shared" si="2"/>
        <v>-176324.411712</v>
      </c>
      <c r="D27" s="125">
        <f aca="true" t="shared" si="3" ref="D27:E29">D9+D15-D21</f>
        <v>-76875.8995</v>
      </c>
      <c r="E27" s="125">
        <f t="shared" si="3"/>
        <v>-4176.008899999999</v>
      </c>
      <c r="F27" s="125" t="e">
        <f aca="true" t="shared" si="4" ref="F27:G29">F9+F15-F21</f>
        <v>#REF!</v>
      </c>
      <c r="G27" s="125" t="e">
        <f>G9+G15-G21+1</f>
        <v>#REF!</v>
      </c>
      <c r="H27" s="125" t="e">
        <f>SUM(B27:F27)+1</f>
        <v>#REF!</v>
      </c>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row>
    <row r="28" spans="1:39" s="24" customFormat="1" ht="15">
      <c r="A28" s="396" t="s">
        <v>386</v>
      </c>
      <c r="B28" s="125">
        <f t="shared" si="2"/>
        <v>214820.749489</v>
      </c>
      <c r="C28" s="125">
        <f t="shared" si="2"/>
        <v>31179.864668999995</v>
      </c>
      <c r="D28" s="125">
        <f t="shared" si="3"/>
        <v>-14137.4063</v>
      </c>
      <c r="E28" s="125">
        <f t="shared" si="3"/>
        <v>109</v>
      </c>
      <c r="F28" s="125" t="e">
        <f t="shared" si="4"/>
        <v>#REF!</v>
      </c>
      <c r="G28" s="125" t="e">
        <f t="shared" si="4"/>
        <v>#REF!</v>
      </c>
      <c r="H28" s="125" t="e">
        <f>SUM(B28:F28)+1</f>
        <v>#REF!</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row>
    <row r="29" spans="1:39" s="24" customFormat="1" ht="15">
      <c r="A29" s="396" t="s">
        <v>387</v>
      </c>
      <c r="B29" s="125">
        <f t="shared" si="2"/>
        <v>1186.07</v>
      </c>
      <c r="C29" s="125">
        <f t="shared" si="2"/>
        <v>-278</v>
      </c>
      <c r="D29" s="125">
        <f t="shared" si="3"/>
        <v>0</v>
      </c>
      <c r="E29" s="125">
        <f t="shared" si="3"/>
        <v>1047.62</v>
      </c>
      <c r="F29" s="125" t="e">
        <f t="shared" si="4"/>
        <v>#REF!</v>
      </c>
      <c r="G29" s="125" t="e">
        <f>G11+G17-G23+1</f>
        <v>#REF!</v>
      </c>
      <c r="H29" s="125" t="e">
        <f>SUM(B29:F29)</f>
        <v>#REF!</v>
      </c>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row>
    <row r="30" spans="1:39" ht="15.75" thickBot="1">
      <c r="A30" s="533" t="s">
        <v>388</v>
      </c>
      <c r="B30" s="361">
        <f aca="true" t="shared" si="5" ref="B30:G30">SUM(B27:B29)</f>
        <v>964879.7988939999</v>
      </c>
      <c r="C30" s="361">
        <f t="shared" si="5"/>
        <v>-145422.547043</v>
      </c>
      <c r="D30" s="361">
        <f t="shared" si="5"/>
        <v>-91013.3058</v>
      </c>
      <c r="E30" s="361">
        <f t="shared" si="5"/>
        <v>-3019.388899999999</v>
      </c>
      <c r="F30" s="361" t="e">
        <f t="shared" si="5"/>
        <v>#REF!</v>
      </c>
      <c r="G30" s="361" t="e">
        <f t="shared" si="5"/>
        <v>#REF!</v>
      </c>
      <c r="H30" s="361" t="e">
        <f>SUM(B30:F30)+2</f>
        <v>#REF!</v>
      </c>
      <c r="I30" s="253">
        <f>+'[1]TB03-31-04(Final)'!G578</f>
        <v>474152.5300000001</v>
      </c>
      <c r="J30" s="252"/>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row>
    <row r="31" spans="2:40" ht="16.5" thickTop="1">
      <c r="B31" s="175"/>
      <c r="F31" s="125"/>
      <c r="G31" s="150"/>
      <c r="H31" s="125"/>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row>
    <row r="32" spans="6:40" ht="15.75">
      <c r="F32" s="125"/>
      <c r="G32" s="150"/>
      <c r="H32" s="125"/>
      <c r="I32" s="115"/>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row>
    <row r="33" spans="6:40" ht="15.75">
      <c r="F33" s="125"/>
      <c r="G33" s="150"/>
      <c r="H33" s="125"/>
      <c r="I33" s="115"/>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row>
    <row r="34" spans="6:40" ht="15.75">
      <c r="F34" s="125"/>
      <c r="G34" s="150"/>
      <c r="H34" s="125"/>
      <c r="I34" s="115"/>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row>
    <row r="35" spans="6:40" ht="15.75">
      <c r="F35" s="125"/>
      <c r="G35" s="150"/>
      <c r="H35" s="125"/>
      <c r="I35" s="115"/>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row>
    <row r="36" spans="6:40" ht="15.75">
      <c r="F36" s="125"/>
      <c r="G36" s="150"/>
      <c r="H36" s="125"/>
      <c r="I36" s="115"/>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row>
    <row r="37" spans="6:40" ht="15.75">
      <c r="F37" s="125"/>
      <c r="G37" s="150"/>
      <c r="H37" s="125"/>
      <c r="I37" s="115"/>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row>
    <row r="38" spans="6:40" ht="15.75">
      <c r="F38" s="125"/>
      <c r="G38" s="150"/>
      <c r="H38" s="125"/>
      <c r="I38" s="115"/>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row>
    <row r="39" spans="6:40" ht="15.75">
      <c r="F39" s="125"/>
      <c r="G39" s="150"/>
      <c r="H39" s="125"/>
      <c r="I39" s="115"/>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row>
    <row r="40" spans="6:40" ht="15.75">
      <c r="F40" s="125"/>
      <c r="G40" s="150"/>
      <c r="H40" s="125"/>
      <c r="I40" s="115"/>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row>
    <row r="41" spans="6:40" ht="15.75">
      <c r="F41" s="125"/>
      <c r="G41" s="150"/>
      <c r="H41" s="125"/>
      <c r="I41" s="115"/>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row>
    <row r="42" spans="6:40" ht="15.75">
      <c r="F42" s="125"/>
      <c r="G42" s="150"/>
      <c r="H42" s="125"/>
      <c r="I42" s="115"/>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row>
    <row r="43" spans="6:40" ht="15.75">
      <c r="F43" s="125"/>
      <c r="G43" s="150"/>
      <c r="H43" s="125"/>
      <c r="I43" s="115"/>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row>
    <row r="44" spans="6:40" ht="15.75">
      <c r="F44" s="125"/>
      <c r="G44" s="150"/>
      <c r="H44" s="125"/>
      <c r="I44" s="115"/>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row>
    <row r="45" spans="6:40" ht="15.75">
      <c r="F45" s="125"/>
      <c r="G45" s="150"/>
      <c r="H45" s="125"/>
      <c r="I45" s="115"/>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row>
    <row r="46" spans="6:40" ht="15.75">
      <c r="F46" s="125"/>
      <c r="G46" s="150"/>
      <c r="H46" s="125"/>
      <c r="I46" s="115"/>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row>
    <row r="47" spans="6:40" ht="15.75">
      <c r="F47" s="125"/>
      <c r="G47" s="150"/>
      <c r="H47" s="125"/>
      <c r="I47" s="115"/>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row>
    <row r="48" spans="6:40" ht="15.75">
      <c r="F48" s="125"/>
      <c r="G48" s="150"/>
      <c r="H48" s="125"/>
      <c r="I48" s="115"/>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row>
    <row r="49" spans="6:40" ht="15.75">
      <c r="F49" s="125"/>
      <c r="G49" s="150"/>
      <c r="H49" s="125"/>
      <c r="I49" s="115"/>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6:40" ht="15.75">
      <c r="F50" s="125"/>
      <c r="G50" s="150"/>
      <c r="H50" s="125"/>
      <c r="I50" s="115"/>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6:40" ht="15.75">
      <c r="F51" s="125"/>
      <c r="G51" s="150"/>
      <c r="H51" s="125"/>
      <c r="I51" s="115"/>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6:40" ht="15.75">
      <c r="F52" s="125"/>
      <c r="G52" s="150"/>
      <c r="H52" s="125"/>
      <c r="I52" s="11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6:40" ht="15.75">
      <c r="F53" s="125"/>
      <c r="G53" s="150"/>
      <c r="H53" s="125"/>
      <c r="I53" s="115"/>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6:40" ht="15.75">
      <c r="F54" s="125"/>
      <c r="G54" s="150"/>
      <c r="H54" s="125"/>
      <c r="I54" s="115"/>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6:40" ht="15.75">
      <c r="F55" s="125"/>
      <c r="G55" s="150"/>
      <c r="H55" s="125"/>
      <c r="I55" s="115"/>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row>
    <row r="56" spans="6:40" ht="15.75">
      <c r="F56" s="125"/>
      <c r="G56" s="150"/>
      <c r="H56" s="125"/>
      <c r="I56" s="115"/>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6:40" ht="15.75">
      <c r="F57" s="125"/>
      <c r="G57" s="150"/>
      <c r="H57" s="125"/>
      <c r="I57" s="115"/>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row>
    <row r="58" spans="6:40" ht="15.75">
      <c r="F58" s="125"/>
      <c r="G58" s="150"/>
      <c r="H58" s="125"/>
      <c r="I58" s="115"/>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row>
    <row r="59" spans="6:40" ht="15.75">
      <c r="F59" s="125"/>
      <c r="G59" s="150"/>
      <c r="H59" s="125"/>
      <c r="I59" s="115"/>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row r="60" spans="6:40" ht="15.75">
      <c r="F60" s="125"/>
      <c r="G60" s="150"/>
      <c r="H60" s="125"/>
      <c r="I60" s="115"/>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row>
    <row r="61" spans="6:40" ht="15.75">
      <c r="F61" s="125"/>
      <c r="G61" s="150"/>
      <c r="H61" s="125"/>
      <c r="I61" s="115"/>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row>
    <row r="62" spans="6:40" ht="15.75">
      <c r="F62" s="125"/>
      <c r="G62" s="150"/>
      <c r="H62" s="125"/>
      <c r="I62" s="115"/>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row>
    <row r="63" spans="6:40" ht="15.75">
      <c r="F63" s="125"/>
      <c r="G63" s="150"/>
      <c r="H63" s="125"/>
      <c r="I63" s="115"/>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row>
    <row r="64" spans="6:40" ht="15.75">
      <c r="F64" s="125"/>
      <c r="G64" s="150"/>
      <c r="H64" s="125"/>
      <c r="I64" s="115"/>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6:40" ht="15.75">
      <c r="F65" s="125"/>
      <c r="G65" s="150"/>
      <c r="H65" s="125"/>
      <c r="I65" s="115"/>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row>
    <row r="66" spans="6:40" ht="15.75">
      <c r="F66" s="125"/>
      <c r="G66" s="150"/>
      <c r="H66" s="125"/>
      <c r="I66" s="115"/>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row>
    <row r="67" spans="6:40" ht="15.75">
      <c r="F67" s="125"/>
      <c r="G67" s="150"/>
      <c r="H67" s="125"/>
      <c r="I67" s="115"/>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row>
    <row r="68" spans="6:40" ht="15.75">
      <c r="F68" s="125"/>
      <c r="G68" s="150"/>
      <c r="H68" s="125"/>
      <c r="I68" s="115"/>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row>
    <row r="69" spans="6:40" ht="15.75">
      <c r="F69" s="125"/>
      <c r="G69" s="150"/>
      <c r="H69" s="125"/>
      <c r="I69" s="115"/>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row>
    <row r="70" spans="6:40" ht="15.75">
      <c r="F70" s="125"/>
      <c r="G70" s="150"/>
      <c r="H70" s="125"/>
      <c r="I70" s="115"/>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row>
    <row r="71" spans="6:40" ht="15.75">
      <c r="F71" s="125"/>
      <c r="G71" s="150"/>
      <c r="H71" s="125"/>
      <c r="I71" s="115"/>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row>
    <row r="72" spans="6:40" ht="15.75">
      <c r="F72" s="125"/>
      <c r="G72" s="150"/>
      <c r="H72" s="125"/>
      <c r="I72" s="115"/>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row>
    <row r="73" spans="6:40" ht="15.75">
      <c r="F73" s="125"/>
      <c r="G73" s="150"/>
      <c r="H73" s="125"/>
      <c r="I73" s="115"/>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row>
    <row r="74" spans="6:40" ht="15.75">
      <c r="F74" s="125"/>
      <c r="G74" s="150"/>
      <c r="H74" s="125"/>
      <c r="I74" s="115"/>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row>
    <row r="75" spans="6:40" ht="15.75">
      <c r="F75" s="125"/>
      <c r="G75" s="150"/>
      <c r="H75" s="125"/>
      <c r="I75" s="115"/>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row>
    <row r="76" spans="6:40" ht="15.75">
      <c r="F76" s="125"/>
      <c r="G76" s="150"/>
      <c r="H76" s="125"/>
      <c r="I76" s="115"/>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row>
    <row r="77" spans="6:40" ht="15.75">
      <c r="F77" s="125"/>
      <c r="G77" s="150"/>
      <c r="H77" s="125"/>
      <c r="I77" s="115"/>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row>
    <row r="78" spans="6:40" ht="15.75">
      <c r="F78" s="125"/>
      <c r="G78" s="150"/>
      <c r="H78" s="125"/>
      <c r="I78" s="115"/>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row>
    <row r="79" spans="6:40" ht="15.75">
      <c r="F79" s="125"/>
      <c r="G79" s="150"/>
      <c r="H79" s="125"/>
      <c r="I79" s="115"/>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6" bestFit="1" customWidth="1"/>
    <col min="2" max="2" width="19.57421875" style="6" customWidth="1"/>
    <col min="3" max="3" width="19.421875" style="6" bestFit="1" customWidth="1"/>
    <col min="4" max="4" width="18.57421875" style="6" bestFit="1" customWidth="1"/>
    <col min="5" max="5" width="18.57421875" style="6" customWidth="1"/>
    <col min="6" max="6" width="13.421875" style="46" customWidth="1"/>
    <col min="7" max="7" width="20.57421875" style="46" customWidth="1"/>
    <col min="8" max="8" width="37.7109375" style="46" customWidth="1"/>
    <col min="9" max="9" width="16.57421875" style="78" customWidth="1"/>
    <col min="10" max="10" width="4.57421875" style="78" customWidth="1"/>
    <col min="11" max="11" width="16.57421875" style="78" customWidth="1"/>
    <col min="12" max="14" width="15.00390625" style="46" customWidth="1"/>
    <col min="15" max="16384" width="9.140625" style="46" customWidth="1"/>
  </cols>
  <sheetData>
    <row r="1" spans="1:14" ht="15.75">
      <c r="A1" s="968" t="s">
        <v>260</v>
      </c>
      <c r="B1" s="968"/>
      <c r="C1" s="968"/>
      <c r="D1" s="968"/>
      <c r="E1" s="968"/>
      <c r="F1" s="354" t="s">
        <v>33</v>
      </c>
      <c r="G1" s="355" t="s">
        <v>194</v>
      </c>
      <c r="H1" s="152" t="s">
        <v>417</v>
      </c>
      <c r="I1" s="153" t="s">
        <v>33</v>
      </c>
      <c r="J1" s="153"/>
      <c r="K1" s="192" t="s">
        <v>255</v>
      </c>
      <c r="L1" s="234"/>
      <c r="M1" s="234"/>
      <c r="N1" s="234"/>
    </row>
    <row r="2" spans="1:11" ht="20.25">
      <c r="A2" s="966" t="s">
        <v>257</v>
      </c>
      <c r="B2" s="966"/>
      <c r="C2" s="966"/>
      <c r="D2" s="966"/>
      <c r="E2" s="966"/>
      <c r="F2" s="154"/>
      <c r="G2" s="81"/>
      <c r="H2" s="77" t="s">
        <v>418</v>
      </c>
      <c r="I2" s="155"/>
      <c r="K2" s="193"/>
    </row>
    <row r="3" spans="1:11" ht="20.25">
      <c r="A3" s="967">
        <v>37802</v>
      </c>
      <c r="B3" s="967"/>
      <c r="C3" s="967"/>
      <c r="D3" s="967"/>
      <c r="E3" s="967"/>
      <c r="F3" s="154"/>
      <c r="G3" s="156"/>
      <c r="H3" s="78"/>
      <c r="K3" s="193" t="s">
        <v>270</v>
      </c>
    </row>
    <row r="4" spans="1:11" ht="15.75">
      <c r="A4" s="3"/>
      <c r="B4" s="3" t="s">
        <v>191</v>
      </c>
      <c r="C4" s="3"/>
      <c r="D4" s="82"/>
      <c r="E4" s="82"/>
      <c r="F4" s="157" t="s">
        <v>419</v>
      </c>
      <c r="H4" s="78"/>
      <c r="K4" s="193"/>
    </row>
    <row r="5" spans="1:11" ht="15.75">
      <c r="A5" s="83"/>
      <c r="B5" s="84" t="s">
        <v>414</v>
      </c>
      <c r="C5" s="4" t="s">
        <v>415</v>
      </c>
      <c r="D5" s="85" t="s">
        <v>416</v>
      </c>
      <c r="E5" s="82"/>
      <c r="F5" s="158" t="s">
        <v>420</v>
      </c>
      <c r="G5" s="79" t="s">
        <v>421</v>
      </c>
      <c r="H5" s="77" t="s">
        <v>422</v>
      </c>
      <c r="I5" s="80" t="s">
        <v>423</v>
      </c>
      <c r="J5" s="77"/>
      <c r="K5" s="194" t="s">
        <v>424</v>
      </c>
    </row>
    <row r="6" spans="1:11" ht="15.75">
      <c r="A6" s="88"/>
      <c r="B6" s="82"/>
      <c r="C6" s="173"/>
      <c r="D6" s="82"/>
      <c r="E6" s="82"/>
      <c r="F6" s="159"/>
      <c r="G6" s="87"/>
      <c r="H6" s="86"/>
      <c r="I6" s="86"/>
      <c r="J6" s="86"/>
      <c r="K6" s="195"/>
    </row>
    <row r="7" spans="1:11" ht="15.75">
      <c r="A7" s="89"/>
      <c r="B7" s="82"/>
      <c r="C7" s="82"/>
      <c r="D7" s="82"/>
      <c r="E7" s="82"/>
      <c r="F7" s="159"/>
      <c r="G7" s="87"/>
      <c r="H7" s="86"/>
      <c r="I7" s="86"/>
      <c r="J7" s="86"/>
      <c r="K7" s="195"/>
    </row>
    <row r="8" spans="1:14" ht="15.75">
      <c r="A8" s="267">
        <v>2002</v>
      </c>
      <c r="B8" s="160"/>
      <c r="C8" s="160"/>
      <c r="D8" s="161"/>
      <c r="E8" s="161"/>
      <c r="F8" s="162">
        <v>37802</v>
      </c>
      <c r="G8" s="78" t="s">
        <v>46</v>
      </c>
      <c r="H8" s="78" t="s">
        <v>52</v>
      </c>
      <c r="I8" s="78">
        <f>D9</f>
        <v>737754.17</v>
      </c>
      <c r="J8" s="86"/>
      <c r="K8" s="193"/>
      <c r="L8" s="233"/>
      <c r="M8" s="233"/>
      <c r="N8" s="233"/>
    </row>
    <row r="9" spans="1:14" ht="15.75">
      <c r="A9" s="89" t="s">
        <v>385</v>
      </c>
      <c r="B9" s="202">
        <f>-'[1](1)IBNR Cal13'!C21</f>
        <v>0</v>
      </c>
      <c r="C9" s="202">
        <v>-737754.17</v>
      </c>
      <c r="D9" s="202">
        <f>B9-C9</f>
        <v>737754.17</v>
      </c>
      <c r="E9" s="163"/>
      <c r="F9" s="164"/>
      <c r="G9" s="78" t="s">
        <v>47</v>
      </c>
      <c r="H9" s="78" t="s">
        <v>53</v>
      </c>
      <c r="I9" s="78">
        <f>D10</f>
        <v>272517.95</v>
      </c>
      <c r="J9" s="86"/>
      <c r="K9" s="193"/>
      <c r="L9" s="233"/>
      <c r="M9" s="233"/>
      <c r="N9" s="233"/>
    </row>
    <row r="10" spans="1:14" ht="15.75">
      <c r="A10" s="89" t="s">
        <v>409</v>
      </c>
      <c r="B10" s="202">
        <f>-'[1](1)IBNR Cal13'!C22</f>
        <v>0</v>
      </c>
      <c r="C10" s="202">
        <v>-272517.95</v>
      </c>
      <c r="D10" s="202">
        <f>B10-C10</f>
        <v>272517.95</v>
      </c>
      <c r="E10" s="163"/>
      <c r="F10" s="164"/>
      <c r="G10" s="78" t="s">
        <v>48</v>
      </c>
      <c r="H10" s="78" t="s">
        <v>54</v>
      </c>
      <c r="I10" s="78">
        <f>D11</f>
        <v>4757.34</v>
      </c>
      <c r="J10" s="86"/>
      <c r="K10" s="193"/>
      <c r="L10" s="233"/>
      <c r="M10" s="233"/>
      <c r="N10" s="233"/>
    </row>
    <row r="11" spans="1:14" ht="15.75">
      <c r="A11" s="89" t="s">
        <v>387</v>
      </c>
      <c r="B11" s="302">
        <f>-'[1](1)IBNR Cal13'!C23</f>
        <v>0</v>
      </c>
      <c r="C11" s="202">
        <v>-4757.34</v>
      </c>
      <c r="D11" s="202">
        <f>B11-C11</f>
        <v>4757.34</v>
      </c>
      <c r="E11" s="163"/>
      <c r="F11" s="164"/>
      <c r="G11" s="78" t="s">
        <v>49</v>
      </c>
      <c r="H11" s="78" t="s">
        <v>55</v>
      </c>
      <c r="J11" s="86"/>
      <c r="K11" s="193">
        <f>I8</f>
        <v>737754.17</v>
      </c>
      <c r="L11" s="233"/>
      <c r="M11" s="233"/>
      <c r="N11" s="233"/>
    </row>
    <row r="12" spans="1:14" ht="15.75">
      <c r="A12" s="89"/>
      <c r="B12" s="202"/>
      <c r="C12" s="203"/>
      <c r="D12" s="202"/>
      <c r="E12" s="163"/>
      <c r="F12" s="164"/>
      <c r="G12" s="78" t="s">
        <v>50</v>
      </c>
      <c r="H12" s="78" t="s">
        <v>56</v>
      </c>
      <c r="J12" s="86"/>
      <c r="K12" s="193">
        <f>I9</f>
        <v>272517.95</v>
      </c>
      <c r="L12" s="233"/>
      <c r="M12" s="233"/>
      <c r="N12" s="233"/>
    </row>
    <row r="13" spans="1:14" ht="15.75">
      <c r="A13" s="89" t="s">
        <v>60</v>
      </c>
      <c r="B13" s="204">
        <f>SUM(B9:B12)</f>
        <v>0</v>
      </c>
      <c r="C13" s="204">
        <f>SUM(C9:C12)</f>
        <v>-1015029.4600000001</v>
      </c>
      <c r="D13" s="204">
        <f>SUM(D9:D12)</f>
        <v>1015029.4600000001</v>
      </c>
      <c r="E13" s="163"/>
      <c r="F13" s="164"/>
      <c r="G13" s="78" t="s">
        <v>51</v>
      </c>
      <c r="H13" s="78" t="s">
        <v>57</v>
      </c>
      <c r="J13" s="86"/>
      <c r="K13" s="193">
        <f>I10</f>
        <v>4757.34</v>
      </c>
      <c r="L13" s="233"/>
      <c r="M13" s="233"/>
      <c r="N13" s="233"/>
    </row>
    <row r="14" spans="1:14" ht="15.75">
      <c r="A14" s="288"/>
      <c r="B14" s="202"/>
      <c r="C14" s="203"/>
      <c r="D14" s="202"/>
      <c r="E14" s="166"/>
      <c r="F14" s="164"/>
      <c r="G14" s="78"/>
      <c r="H14" s="78"/>
      <c r="J14" s="86"/>
      <c r="K14" s="193"/>
      <c r="L14" s="233"/>
      <c r="M14" s="233"/>
      <c r="N14" s="233"/>
    </row>
    <row r="15" spans="1:14" ht="15.75">
      <c r="A15" s="267">
        <v>2003</v>
      </c>
      <c r="B15" s="205"/>
      <c r="C15" s="205"/>
      <c r="D15" s="206"/>
      <c r="E15" s="161"/>
      <c r="F15" s="164"/>
      <c r="G15" s="78" t="s">
        <v>35</v>
      </c>
      <c r="H15" s="78" t="s">
        <v>247</v>
      </c>
      <c r="J15" s="86"/>
      <c r="K15" s="193">
        <f>-D16</f>
        <v>664860.7953114785</v>
      </c>
      <c r="L15" s="233"/>
      <c r="M15" s="233"/>
      <c r="N15" s="233"/>
    </row>
    <row r="16" spans="1:14" ht="15.75">
      <c r="A16" s="89" t="s">
        <v>385</v>
      </c>
      <c r="B16" s="202">
        <f>-'[1](1)IBNR Cal13'!C27</f>
        <v>-929888.0153114785</v>
      </c>
      <c r="C16" s="202">
        <v>-265027.22</v>
      </c>
      <c r="D16" s="202">
        <f>B16-C16</f>
        <v>-664860.7953114785</v>
      </c>
      <c r="E16" s="163"/>
      <c r="F16" s="164"/>
      <c r="G16" s="78" t="s">
        <v>36</v>
      </c>
      <c r="H16" s="78" t="s">
        <v>248</v>
      </c>
      <c r="J16" s="86"/>
      <c r="K16" s="193">
        <f>-D17</f>
        <v>216633.17796003202</v>
      </c>
      <c r="L16" s="233"/>
      <c r="M16" s="233"/>
      <c r="N16" s="233"/>
    </row>
    <row r="17" spans="1:14" ht="15.75">
      <c r="A17" s="89" t="s">
        <v>409</v>
      </c>
      <c r="B17" s="202">
        <f>-'[1](1)IBNR Cal13'!C28</f>
        <v>-302248.25796003203</v>
      </c>
      <c r="C17" s="202">
        <v>-85615.08</v>
      </c>
      <c r="D17" s="202">
        <f>B17-C17</f>
        <v>-216633.17796003202</v>
      </c>
      <c r="E17" s="163"/>
      <c r="F17" s="164"/>
      <c r="G17" s="78" t="s">
        <v>37</v>
      </c>
      <c r="H17" s="78" t="s">
        <v>249</v>
      </c>
      <c r="J17" s="86"/>
      <c r="K17" s="193">
        <f>-D18</f>
        <v>2832.0896709593467</v>
      </c>
      <c r="L17" s="233"/>
      <c r="M17" s="233"/>
      <c r="N17" s="233"/>
    </row>
    <row r="18" spans="1:14" ht="15.75">
      <c r="A18" s="89" t="s">
        <v>387</v>
      </c>
      <c r="B18" s="202">
        <f>-'[1](1)IBNR Cal13'!C29</f>
        <v>-4148.069670959347</v>
      </c>
      <c r="C18" s="202">
        <v>-1315.98</v>
      </c>
      <c r="D18" s="202">
        <f>B18-C18</f>
        <v>-2832.0896709593467</v>
      </c>
      <c r="E18" s="163"/>
      <c r="F18" s="164"/>
      <c r="G18" s="78" t="s">
        <v>38</v>
      </c>
      <c r="H18" s="78" t="s">
        <v>250</v>
      </c>
      <c r="I18" s="78">
        <f>K15</f>
        <v>664860.7953114785</v>
      </c>
      <c r="J18" s="86"/>
      <c r="K18" s="193"/>
      <c r="L18" s="233"/>
      <c r="M18" s="233"/>
      <c r="N18" s="233"/>
    </row>
    <row r="19" spans="1:14" ht="15.75">
      <c r="A19" s="91"/>
      <c r="B19" s="202"/>
      <c r="C19" s="203"/>
      <c r="D19" s="202"/>
      <c r="E19" s="163"/>
      <c r="F19" s="164"/>
      <c r="G19" s="78" t="s">
        <v>39</v>
      </c>
      <c r="H19" s="78" t="s">
        <v>251</v>
      </c>
      <c r="I19" s="78">
        <f>K16</f>
        <v>216633.17796003202</v>
      </c>
      <c r="J19" s="86"/>
      <c r="K19" s="193"/>
      <c r="L19" s="233"/>
      <c r="M19" s="233"/>
      <c r="N19" s="233"/>
    </row>
    <row r="20" spans="1:14" ht="15.75">
      <c r="A20" s="89" t="s">
        <v>60</v>
      </c>
      <c r="B20" s="204">
        <f>SUM(B16:B19)</f>
        <v>-1236284.34294247</v>
      </c>
      <c r="C20" s="204">
        <f>SUM(C16:C19)</f>
        <v>-351958.27999999997</v>
      </c>
      <c r="D20" s="204">
        <f>SUM(D16:D19)</f>
        <v>-884326.06294247</v>
      </c>
      <c r="E20" s="163"/>
      <c r="F20" s="164"/>
      <c r="G20" s="78" t="s">
        <v>40</v>
      </c>
      <c r="H20" s="78" t="s">
        <v>252</v>
      </c>
      <c r="I20" s="388">
        <f>K17</f>
        <v>2832.0896709593467</v>
      </c>
      <c r="J20" s="86"/>
      <c r="K20" s="193"/>
      <c r="L20" s="82"/>
      <c r="M20" s="82"/>
      <c r="N20" s="82"/>
    </row>
    <row r="21" spans="1:11" ht="16.5" thickBot="1">
      <c r="A21" s="91"/>
      <c r="B21" s="163"/>
      <c r="C21" s="165"/>
      <c r="D21" s="163"/>
      <c r="E21" s="89"/>
      <c r="F21" s="68" t="s">
        <v>425</v>
      </c>
      <c r="G21" s="11"/>
      <c r="H21" s="11"/>
      <c r="I21" s="387">
        <f>SUM(I8:I20)+0.01</f>
        <v>1899355.53294247</v>
      </c>
      <c r="J21" s="196"/>
      <c r="K21" s="197">
        <f>SUM(K8:K20)+0.01</f>
        <v>1899355.53294247</v>
      </c>
    </row>
    <row r="22" spans="1:11" ht="16.5" thickTop="1">
      <c r="A22" s="91"/>
      <c r="B22" s="163"/>
      <c r="C22" s="165"/>
      <c r="D22" s="163"/>
      <c r="E22" s="92"/>
      <c r="F22" s="67"/>
      <c r="G22" s="11"/>
      <c r="H22" s="11"/>
      <c r="I22" s="172"/>
      <c r="J22" s="172"/>
      <c r="K22" s="198"/>
    </row>
    <row r="23" spans="1:11" ht="16.5" thickBot="1">
      <c r="A23" s="167" t="s">
        <v>258</v>
      </c>
      <c r="B23" s="273">
        <f>B13+B20</f>
        <v>-1236284.34294247</v>
      </c>
      <c r="C23" s="273">
        <f>C13+C20</f>
        <v>-1366987.74</v>
      </c>
      <c r="D23" s="273">
        <f>D13+D20</f>
        <v>130703.39705753012</v>
      </c>
      <c r="E23" s="168"/>
      <c r="F23" s="68" t="s">
        <v>426</v>
      </c>
      <c r="G23" s="69" t="s">
        <v>253</v>
      </c>
      <c r="H23" s="11"/>
      <c r="I23" s="172"/>
      <c r="J23" s="172"/>
      <c r="K23" s="198"/>
    </row>
    <row r="24" spans="1:11" ht="16.5" thickTop="1">
      <c r="A24" s="89"/>
      <c r="B24" s="89" t="s">
        <v>239</v>
      </c>
      <c r="C24" s="389" t="s">
        <v>106</v>
      </c>
      <c r="D24" s="89"/>
      <c r="E24" s="92"/>
      <c r="F24" s="68" t="s">
        <v>256</v>
      </c>
      <c r="G24" s="69" t="s">
        <v>254</v>
      </c>
      <c r="H24" s="69"/>
      <c r="I24" s="172"/>
      <c r="J24" s="172"/>
      <c r="K24" s="198" t="s">
        <v>270</v>
      </c>
    </row>
    <row r="25" spans="1:11" ht="15.75">
      <c r="A25" s="3"/>
      <c r="B25" s="390" t="s">
        <v>96</v>
      </c>
      <c r="C25" s="390" t="s">
        <v>97</v>
      </c>
      <c r="D25" s="169"/>
      <c r="E25" s="92"/>
      <c r="F25" s="67"/>
      <c r="H25" s="69"/>
      <c r="I25" s="172"/>
      <c r="J25" s="172"/>
      <c r="K25" s="198"/>
    </row>
    <row r="26" spans="2:11" ht="15.75">
      <c r="B26" s="170"/>
      <c r="C26" s="170"/>
      <c r="D26" s="170"/>
      <c r="E26" s="92"/>
      <c r="F26" s="67"/>
      <c r="G26" s="11"/>
      <c r="H26" s="11"/>
      <c r="I26" s="172"/>
      <c r="J26" s="172"/>
      <c r="K26" s="198"/>
    </row>
    <row r="27" spans="1:11" ht="15.75">
      <c r="A27" s="3"/>
      <c r="B27" s="169"/>
      <c r="C27" s="169"/>
      <c r="D27" s="169"/>
      <c r="E27" s="92"/>
      <c r="F27" s="67"/>
      <c r="G27" s="11"/>
      <c r="H27" s="11"/>
      <c r="I27" s="172"/>
      <c r="J27" s="172"/>
      <c r="K27" s="198"/>
    </row>
    <row r="28" spans="1:11" ht="15.75">
      <c r="A28" s="3"/>
      <c r="B28" s="92"/>
      <c r="C28" s="92"/>
      <c r="D28" s="92"/>
      <c r="E28" s="92"/>
      <c r="F28" s="164"/>
      <c r="G28" s="11"/>
      <c r="H28" s="11"/>
      <c r="I28" s="172"/>
      <c r="J28" s="172"/>
      <c r="K28" s="198"/>
    </row>
    <row r="29" spans="1:11" ht="27" thickBot="1">
      <c r="A29" s="3"/>
      <c r="B29" s="92"/>
      <c r="C29" s="92"/>
      <c r="D29" s="92"/>
      <c r="E29" s="92"/>
      <c r="F29" s="68"/>
      <c r="G29" s="171"/>
      <c r="H29" s="74"/>
      <c r="I29" s="199" t="s">
        <v>420</v>
      </c>
      <c r="J29" s="199"/>
      <c r="K29" s="198"/>
    </row>
    <row r="30" spans="1:11" ht="15.75">
      <c r="A30" s="3"/>
      <c r="B30" s="92"/>
      <c r="C30" s="92"/>
      <c r="D30" s="92"/>
      <c r="E30" s="92"/>
      <c r="F30" s="68" t="s">
        <v>427</v>
      </c>
      <c r="G30" s="69" t="s">
        <v>63</v>
      </c>
      <c r="H30" s="69"/>
      <c r="I30" s="272">
        <v>37825</v>
      </c>
      <c r="J30" s="199"/>
      <c r="K30" s="198"/>
    </row>
    <row r="31" spans="1:11" ht="15.75">
      <c r="A31" s="3"/>
      <c r="B31" s="92"/>
      <c r="C31" s="92"/>
      <c r="D31" s="92"/>
      <c r="E31" s="3"/>
      <c r="F31" s="164"/>
      <c r="G31" s="69"/>
      <c r="H31" s="69"/>
      <c r="I31" s="199"/>
      <c r="J31" s="199"/>
      <c r="K31" s="198"/>
    </row>
    <row r="32" spans="1:11" ht="16.5" thickBot="1">
      <c r="A32" s="3"/>
      <c r="B32" s="92"/>
      <c r="C32" s="92"/>
      <c r="D32" s="92"/>
      <c r="E32" s="3"/>
      <c r="F32" s="68"/>
      <c r="G32" s="74"/>
      <c r="H32" s="74"/>
      <c r="I32" s="199"/>
      <c r="J32" s="199"/>
      <c r="K32" s="198"/>
    </row>
    <row r="33" spans="1:11" ht="15.75">
      <c r="A33" s="3"/>
      <c r="B33" s="92"/>
      <c r="C33" s="92"/>
      <c r="D33" s="92"/>
      <c r="E33" s="3"/>
      <c r="F33" s="68" t="s">
        <v>61</v>
      </c>
      <c r="G33" s="69" t="s">
        <v>464</v>
      </c>
      <c r="H33" s="69"/>
      <c r="I33" s="199"/>
      <c r="J33" s="199"/>
      <c r="K33" s="198"/>
    </row>
    <row r="34" spans="1:11" ht="15.75">
      <c r="A34" s="3"/>
      <c r="B34" s="92"/>
      <c r="C34" s="92"/>
      <c r="D34" s="92"/>
      <c r="E34" s="3"/>
      <c r="F34" s="164"/>
      <c r="G34" s="69"/>
      <c r="H34" s="69"/>
      <c r="I34" s="199"/>
      <c r="J34" s="199"/>
      <c r="K34" s="198"/>
    </row>
    <row r="35" spans="1:11" ht="16.5" thickBot="1">
      <c r="A35" s="3"/>
      <c r="B35" s="92"/>
      <c r="C35" s="92"/>
      <c r="D35" s="92"/>
      <c r="E35" s="3"/>
      <c r="F35" s="164"/>
      <c r="G35" s="74"/>
      <c r="H35" s="74"/>
      <c r="I35" s="199"/>
      <c r="J35" s="199"/>
      <c r="K35" s="198"/>
    </row>
    <row r="36" spans="1:11" ht="15.75">
      <c r="A36" s="3"/>
      <c r="B36" s="92"/>
      <c r="C36" s="92"/>
      <c r="D36" s="92"/>
      <c r="E36" s="3"/>
      <c r="F36" s="68" t="s">
        <v>428</v>
      </c>
      <c r="G36" s="69" t="s">
        <v>62</v>
      </c>
      <c r="H36" s="69"/>
      <c r="I36" s="199"/>
      <c r="J36" s="199"/>
      <c r="K36" s="198"/>
    </row>
    <row r="37" spans="1:11" ht="15.75">
      <c r="A37" s="3"/>
      <c r="B37" s="3"/>
      <c r="C37" s="3"/>
      <c r="D37" s="3"/>
      <c r="E37" s="3"/>
      <c r="F37" s="164"/>
      <c r="H37" s="69"/>
      <c r="I37" s="199"/>
      <c r="J37" s="199" t="s">
        <v>431</v>
      </c>
      <c r="K37" s="371"/>
    </row>
    <row r="38" spans="1:11" ht="16.5" thickBot="1">
      <c r="A38" s="3"/>
      <c r="B38" s="3"/>
      <c r="C38" s="3"/>
      <c r="D38" s="3"/>
      <c r="E38" s="3"/>
      <c r="F38" s="75"/>
      <c r="G38" s="74"/>
      <c r="H38" s="74"/>
      <c r="I38" s="199"/>
      <c r="J38" s="199"/>
      <c r="K38" s="198"/>
    </row>
    <row r="39" spans="1:14" ht="16.5" thickBot="1">
      <c r="A39" s="3"/>
      <c r="B39" s="3"/>
      <c r="C39" s="3"/>
      <c r="D39" s="3"/>
      <c r="E39" s="3"/>
      <c r="F39" s="303" t="s">
        <v>430</v>
      </c>
      <c r="G39" s="74" t="s">
        <v>238</v>
      </c>
      <c r="H39" s="74"/>
      <c r="I39" s="200"/>
      <c r="J39" s="200"/>
      <c r="K39" s="201"/>
      <c r="L39" s="235"/>
      <c r="M39" s="235"/>
      <c r="N39" s="235"/>
    </row>
    <row r="40" spans="1:8" ht="15.75">
      <c r="A40" s="3"/>
      <c r="B40" s="3"/>
      <c r="C40" s="3"/>
      <c r="D40" s="3"/>
      <c r="E40" s="3"/>
      <c r="F40" s="3"/>
      <c r="G40" s="78"/>
      <c r="H40" s="78"/>
    </row>
    <row r="41" spans="1:6" ht="15.75">
      <c r="A41" s="3"/>
      <c r="B41" s="3"/>
      <c r="C41" s="3"/>
      <c r="D41" s="3"/>
      <c r="E41" s="3"/>
      <c r="F41" s="297"/>
    </row>
    <row r="42" spans="1:8" ht="15.75">
      <c r="A42" s="3"/>
      <c r="B42" s="3"/>
      <c r="C42" s="3"/>
      <c r="D42" s="3"/>
      <c r="E42" s="3"/>
      <c r="F42" s="297"/>
      <c r="G42" s="81"/>
      <c r="H42" s="77"/>
    </row>
    <row r="43" spans="1:9" ht="15.75">
      <c r="A43" s="3"/>
      <c r="B43" s="3"/>
      <c r="C43" s="3"/>
      <c r="D43" s="3"/>
      <c r="E43" s="3"/>
      <c r="F43" s="297"/>
      <c r="G43" s="81"/>
      <c r="H43" s="77"/>
      <c r="I43" s="155"/>
    </row>
    <row r="44" spans="1:9" ht="15.75">
      <c r="A44" s="3"/>
      <c r="B44" s="3"/>
      <c r="C44" s="3"/>
      <c r="D44" s="3"/>
      <c r="E44" s="3"/>
      <c r="F44" s="297"/>
      <c r="G44" s="156"/>
      <c r="H44" s="78"/>
      <c r="I44" s="205"/>
    </row>
    <row r="45" spans="1:8" ht="15.75">
      <c r="A45" s="3"/>
      <c r="B45" s="3"/>
      <c r="C45" s="3"/>
      <c r="D45" s="3"/>
      <c r="E45" s="3"/>
      <c r="F45" s="93"/>
      <c r="H45" s="78"/>
    </row>
    <row r="46" spans="1:11" ht="15.75">
      <c r="A46" s="3"/>
      <c r="B46" s="3"/>
      <c r="C46" s="3"/>
      <c r="D46" s="3"/>
      <c r="E46" s="3"/>
      <c r="F46" s="301"/>
      <c r="G46" s="301"/>
      <c r="H46" s="77"/>
      <c r="I46" s="77"/>
      <c r="J46" s="77"/>
      <c r="K46" s="77"/>
    </row>
    <row r="47" spans="1:11" ht="15.75">
      <c r="A47" s="3"/>
      <c r="B47" s="3"/>
      <c r="C47" s="3"/>
      <c r="D47" s="3"/>
      <c r="E47" s="3"/>
      <c r="F47" s="87"/>
      <c r="G47" s="87"/>
      <c r="H47" s="86"/>
      <c r="I47" s="86"/>
      <c r="J47" s="86"/>
      <c r="K47" s="86"/>
    </row>
    <row r="48" spans="1:11" ht="15.75">
      <c r="A48" s="3"/>
      <c r="B48" s="3"/>
      <c r="C48" s="3"/>
      <c r="D48" s="3"/>
      <c r="E48" s="3"/>
      <c r="F48" s="87"/>
      <c r="G48" s="87"/>
      <c r="H48" s="86"/>
      <c r="I48" s="86"/>
      <c r="J48" s="86"/>
      <c r="K48" s="86"/>
    </row>
    <row r="49" spans="1:10" ht="15.75">
      <c r="A49" s="3"/>
      <c r="B49" s="3"/>
      <c r="C49" s="3"/>
      <c r="D49" s="3"/>
      <c r="E49" s="3"/>
      <c r="F49" s="289"/>
      <c r="G49" s="78"/>
      <c r="H49" s="78"/>
      <c r="J49" s="86"/>
    </row>
    <row r="50" spans="1:10" ht="15.75">
      <c r="A50" s="3"/>
      <c r="B50" s="3"/>
      <c r="C50" s="3"/>
      <c r="D50" s="3"/>
      <c r="E50" s="3"/>
      <c r="G50" s="78"/>
      <c r="H50" s="78"/>
      <c r="J50" s="86"/>
    </row>
    <row r="51" spans="1:10" ht="15.75">
      <c r="A51" s="3"/>
      <c r="B51" s="3"/>
      <c r="C51" s="3"/>
      <c r="D51" s="3"/>
      <c r="E51" s="3"/>
      <c r="G51" s="78"/>
      <c r="H51" s="78"/>
      <c r="J51" s="86"/>
    </row>
    <row r="52" spans="1:10" ht="15.75">
      <c r="A52" s="3"/>
      <c r="B52" s="3"/>
      <c r="C52" s="3"/>
      <c r="D52" s="3"/>
      <c r="E52" s="3"/>
      <c r="G52" s="78"/>
      <c r="H52" s="78"/>
      <c r="J52" s="86"/>
    </row>
    <row r="53" spans="1:10" ht="15.75">
      <c r="A53" s="3"/>
      <c r="B53" s="3"/>
      <c r="C53" s="3"/>
      <c r="D53" s="3"/>
      <c r="E53" s="3"/>
      <c r="G53" s="78"/>
      <c r="H53" s="78"/>
      <c r="J53" s="86"/>
    </row>
    <row r="54" spans="1:10" ht="15.75">
      <c r="A54" s="3"/>
      <c r="B54" s="3"/>
      <c r="C54" s="3"/>
      <c r="D54" s="3"/>
      <c r="E54" s="3"/>
      <c r="G54" s="78"/>
      <c r="H54" s="78"/>
      <c r="J54" s="86"/>
    </row>
    <row r="55" spans="1:10" ht="15.75">
      <c r="A55" s="3"/>
      <c r="B55" s="3"/>
      <c r="C55" s="3"/>
      <c r="D55" s="3"/>
      <c r="E55" s="3"/>
      <c r="G55" s="78"/>
      <c r="H55" s="78"/>
      <c r="J55" s="86"/>
    </row>
    <row r="56" spans="1:10" ht="15.75">
      <c r="A56" s="3"/>
      <c r="B56" s="3"/>
      <c r="C56" s="3"/>
      <c r="D56" s="3"/>
      <c r="E56" s="3"/>
      <c r="G56" s="78"/>
      <c r="H56" s="78"/>
      <c r="J56" s="86"/>
    </row>
    <row r="57" spans="1:10" ht="15.75">
      <c r="A57" s="3"/>
      <c r="B57" s="3"/>
      <c r="C57" s="3"/>
      <c r="D57" s="3"/>
      <c r="E57" s="3"/>
      <c r="G57" s="78"/>
      <c r="H57" s="78"/>
      <c r="J57" s="86"/>
    </row>
    <row r="58" spans="1:10" ht="15.75">
      <c r="A58" s="3"/>
      <c r="B58" s="3"/>
      <c r="C58" s="3"/>
      <c r="D58" s="3"/>
      <c r="E58" s="3"/>
      <c r="G58" s="78"/>
      <c r="H58" s="78"/>
      <c r="J58" s="86"/>
    </row>
    <row r="59" spans="1:10" ht="15.75">
      <c r="A59" s="3"/>
      <c r="B59" s="3"/>
      <c r="C59" s="3"/>
      <c r="D59" s="3"/>
      <c r="E59" s="95"/>
      <c r="G59" s="78"/>
      <c r="H59" s="78"/>
      <c r="J59" s="86"/>
    </row>
    <row r="60" spans="1:10" ht="15.75">
      <c r="A60" s="3"/>
      <c r="B60" s="3"/>
      <c r="C60" s="3"/>
      <c r="D60" s="3"/>
      <c r="E60" s="95"/>
      <c r="G60" s="78"/>
      <c r="H60" s="78"/>
      <c r="J60" s="86"/>
    </row>
    <row r="61" spans="1:11" ht="15.75">
      <c r="A61" s="3"/>
      <c r="B61" s="3"/>
      <c r="C61" s="3"/>
      <c r="D61" s="3"/>
      <c r="E61" s="95"/>
      <c r="F61" s="69"/>
      <c r="G61" s="11"/>
      <c r="H61" s="11"/>
      <c r="I61" s="202"/>
      <c r="J61" s="202"/>
      <c r="K61" s="202"/>
    </row>
    <row r="62" spans="1:11" s="3" customFormat="1" ht="15.75">
      <c r="A62" s="94"/>
      <c r="B62" s="94"/>
      <c r="C62" s="95"/>
      <c r="D62" s="95"/>
      <c r="E62" s="95"/>
      <c r="F62" s="11"/>
      <c r="G62" s="11"/>
      <c r="H62" s="11"/>
      <c r="I62" s="172"/>
      <c r="J62" s="172"/>
      <c r="K62" s="172"/>
    </row>
    <row r="63" spans="1:11" s="3" customFormat="1" ht="15.75">
      <c r="A63" s="94"/>
      <c r="B63" s="94"/>
      <c r="C63" s="95"/>
      <c r="D63" s="95"/>
      <c r="E63" s="95"/>
      <c r="F63" s="11"/>
      <c r="G63" s="11"/>
      <c r="H63" s="11"/>
      <c r="I63" s="172"/>
      <c r="J63" s="172"/>
      <c r="K63" s="172"/>
    </row>
    <row r="64" spans="1:11" s="3" customFormat="1" ht="15.75">
      <c r="A64" s="94"/>
      <c r="B64" s="94"/>
      <c r="C64" s="95"/>
      <c r="D64" s="95"/>
      <c r="E64" s="95"/>
      <c r="F64" s="69"/>
      <c r="G64" s="69"/>
      <c r="H64" s="69"/>
      <c r="I64" s="172"/>
      <c r="J64" s="172"/>
      <c r="K64" s="172"/>
    </row>
    <row r="65" spans="1:11" s="3" customFormat="1" ht="15.75">
      <c r="A65" s="94"/>
      <c r="B65" s="94"/>
      <c r="C65" s="95"/>
      <c r="D65" s="95"/>
      <c r="E65" s="95"/>
      <c r="F65" s="69"/>
      <c r="G65" s="69"/>
      <c r="H65" s="69"/>
      <c r="I65" s="172"/>
      <c r="J65" s="172"/>
      <c r="K65" s="172"/>
    </row>
    <row r="66" spans="1:11" s="3" customFormat="1" ht="15.75">
      <c r="A66" s="94"/>
      <c r="B66" s="94"/>
      <c r="C66" s="95"/>
      <c r="D66" s="95"/>
      <c r="E66" s="95"/>
      <c r="F66" s="11"/>
      <c r="G66" s="11"/>
      <c r="H66" s="11"/>
      <c r="I66" s="172"/>
      <c r="J66" s="172"/>
      <c r="K66" s="172"/>
    </row>
    <row r="67" spans="1:11" ht="15.75">
      <c r="A67" s="94"/>
      <c r="B67" s="94"/>
      <c r="C67" s="95"/>
      <c r="D67" s="95"/>
      <c r="E67" s="95"/>
      <c r="F67" s="11"/>
      <c r="G67" s="11"/>
      <c r="H67" s="11"/>
      <c r="I67" s="172"/>
      <c r="J67" s="172"/>
      <c r="K67" s="172"/>
    </row>
    <row r="68" spans="1:11" ht="15.75">
      <c r="A68" s="94"/>
      <c r="B68" s="94"/>
      <c r="C68" s="95"/>
      <c r="D68" s="95"/>
      <c r="E68" s="95"/>
      <c r="F68" s="11"/>
      <c r="G68" s="11"/>
      <c r="H68" s="11"/>
      <c r="I68" s="172"/>
      <c r="J68" s="172"/>
      <c r="K68" s="172"/>
    </row>
    <row r="69" spans="1:11" ht="26.25">
      <c r="A69" s="94"/>
      <c r="B69" s="94"/>
      <c r="C69" s="95"/>
      <c r="D69" s="95"/>
      <c r="E69" s="95"/>
      <c r="F69" s="69"/>
      <c r="G69" s="304"/>
      <c r="H69" s="69"/>
      <c r="I69" s="289"/>
      <c r="J69" s="199"/>
      <c r="K69" s="172"/>
    </row>
    <row r="70" spans="1:11" ht="15.75">
      <c r="A70" s="94"/>
      <c r="B70" s="94"/>
      <c r="C70" s="95"/>
      <c r="D70" s="95"/>
      <c r="E70" s="95"/>
      <c r="F70" s="69"/>
      <c r="G70" s="69"/>
      <c r="H70" s="69"/>
      <c r="I70" s="199"/>
      <c r="J70" s="199"/>
      <c r="K70" s="172"/>
    </row>
    <row r="71" spans="1:11" ht="15.75">
      <c r="A71" s="94"/>
      <c r="B71" s="94"/>
      <c r="C71" s="95"/>
      <c r="D71" s="95"/>
      <c r="E71" s="95"/>
      <c r="F71" s="69"/>
      <c r="G71" s="69"/>
      <c r="H71" s="69"/>
      <c r="I71" s="199"/>
      <c r="J71" s="199"/>
      <c r="K71" s="172"/>
    </row>
    <row r="72" spans="1:11" ht="15.75">
      <c r="A72" s="94"/>
      <c r="B72" s="94"/>
      <c r="C72" s="95"/>
      <c r="D72" s="95"/>
      <c r="E72" s="95"/>
      <c r="F72" s="69"/>
      <c r="G72" s="69"/>
      <c r="H72" s="69"/>
      <c r="I72" s="199"/>
      <c r="J72" s="199"/>
      <c r="K72" s="172"/>
    </row>
    <row r="73" spans="1:11" ht="15.75">
      <c r="A73" s="94"/>
      <c r="B73" s="94"/>
      <c r="C73" s="95"/>
      <c r="D73" s="95"/>
      <c r="E73" s="95"/>
      <c r="F73" s="69"/>
      <c r="G73" s="69"/>
      <c r="H73" s="69"/>
      <c r="I73" s="199"/>
      <c r="J73" s="199"/>
      <c r="K73" s="172"/>
    </row>
    <row r="74" spans="1:11" ht="15.75">
      <c r="A74" s="94"/>
      <c r="B74" s="94"/>
      <c r="C74" s="95"/>
      <c r="D74" s="95"/>
      <c r="E74" s="95"/>
      <c r="F74" s="69"/>
      <c r="G74" s="69"/>
      <c r="H74" s="69"/>
      <c r="I74" s="199"/>
      <c r="J74" s="199"/>
      <c r="K74" s="172"/>
    </row>
    <row r="75" spans="1:11" ht="15.75">
      <c r="A75" s="94"/>
      <c r="B75" s="94"/>
      <c r="C75" s="95"/>
      <c r="D75" s="95"/>
      <c r="E75" s="95"/>
      <c r="F75" s="69"/>
      <c r="G75" s="69"/>
      <c r="H75" s="69"/>
      <c r="I75" s="199"/>
      <c r="J75" s="199"/>
      <c r="K75" s="172"/>
    </row>
    <row r="76" spans="1:11" ht="15.75">
      <c r="A76" s="94"/>
      <c r="B76" s="94"/>
      <c r="C76" s="95"/>
      <c r="D76" s="95"/>
      <c r="E76" s="95"/>
      <c r="F76" s="69"/>
      <c r="G76" s="69"/>
      <c r="H76" s="69"/>
      <c r="I76" s="199"/>
      <c r="J76" s="199"/>
      <c r="K76" s="172"/>
    </row>
    <row r="77" spans="1:11" ht="15.75">
      <c r="A77" s="94"/>
      <c r="B77" s="94"/>
      <c r="C77" s="95"/>
      <c r="D77" s="95"/>
      <c r="E77" s="95"/>
      <c r="F77" s="69"/>
      <c r="H77" s="69"/>
      <c r="I77" s="199"/>
      <c r="J77" s="199"/>
      <c r="K77" s="172"/>
    </row>
    <row r="78" spans="1:11" ht="15.75">
      <c r="A78" s="94"/>
      <c r="B78" s="94"/>
      <c r="C78" s="95"/>
      <c r="D78" s="95"/>
      <c r="E78" s="95"/>
      <c r="F78" s="69"/>
      <c r="G78" s="69"/>
      <c r="H78" s="69"/>
      <c r="I78" s="199"/>
      <c r="J78" s="199"/>
      <c r="K78" s="172"/>
    </row>
    <row r="79" spans="1:11" ht="15.75">
      <c r="A79" s="94"/>
      <c r="B79" s="94"/>
      <c r="C79" s="95"/>
      <c r="D79" s="95"/>
      <c r="E79" s="95"/>
      <c r="F79" s="69"/>
      <c r="G79" s="69"/>
      <c r="H79" s="69"/>
      <c r="I79" s="199"/>
      <c r="J79" s="199"/>
      <c r="K79" s="172"/>
    </row>
    <row r="80" spans="1:5" ht="15.75">
      <c r="A80" s="94"/>
      <c r="B80" s="94"/>
      <c r="C80" s="95"/>
      <c r="D80" s="95"/>
      <c r="E80" s="95"/>
    </row>
    <row r="81" spans="1:5" ht="15.75">
      <c r="A81" s="94"/>
      <c r="B81" s="94"/>
      <c r="C81" s="95"/>
      <c r="D81" s="95"/>
      <c r="E81" s="95"/>
    </row>
    <row r="82" spans="1:5" ht="15.75">
      <c r="A82" s="94"/>
      <c r="B82" s="94"/>
      <c r="C82" s="95"/>
      <c r="D82" s="95"/>
      <c r="E82" s="95"/>
    </row>
    <row r="83" spans="1:5" ht="15.75">
      <c r="A83" s="94"/>
      <c r="B83" s="94"/>
      <c r="C83" s="95"/>
      <c r="D83" s="95"/>
      <c r="E83" s="95"/>
    </row>
    <row r="84" spans="1:5" ht="15.75">
      <c r="A84" s="94"/>
      <c r="B84" s="94"/>
      <c r="C84" s="95"/>
      <c r="D84" s="95"/>
      <c r="E84" s="95"/>
    </row>
    <row r="85" spans="1:5" ht="15.75">
      <c r="A85" s="94"/>
      <c r="B85" s="94"/>
      <c r="C85" s="95"/>
      <c r="D85" s="95"/>
      <c r="E85" s="95"/>
    </row>
    <row r="86" spans="1:5" ht="15.75">
      <c r="A86" s="94"/>
      <c r="B86" s="94"/>
      <c r="C86" s="95"/>
      <c r="D86" s="95"/>
      <c r="E86" s="95"/>
    </row>
    <row r="87" spans="1:5" ht="15.75">
      <c r="A87" s="94"/>
      <c r="B87" s="94"/>
      <c r="C87" s="95"/>
      <c r="D87" s="95"/>
      <c r="E87" s="95"/>
    </row>
    <row r="88" spans="1:5" ht="15.75">
      <c r="A88" s="94"/>
      <c r="B88" s="94"/>
      <c r="C88" s="95"/>
      <c r="D88" s="95"/>
      <c r="E88" s="95"/>
    </row>
    <row r="89" spans="1:5" ht="15.75">
      <c r="A89" s="94"/>
      <c r="B89" s="94"/>
      <c r="C89" s="95"/>
      <c r="D89" s="95"/>
      <c r="E89" s="95"/>
    </row>
    <row r="90" spans="1:5" ht="15.75">
      <c r="A90" s="94"/>
      <c r="B90" s="94"/>
      <c r="C90" s="95"/>
      <c r="D90" s="95"/>
      <c r="E90" s="95"/>
    </row>
    <row r="91" spans="1:5" ht="15.75">
      <c r="A91" s="94"/>
      <c r="B91" s="94"/>
      <c r="C91" s="95"/>
      <c r="D91" s="95"/>
      <c r="E91" s="95"/>
    </row>
    <row r="92" spans="1:5" ht="15.75">
      <c r="A92" s="94"/>
      <c r="B92" s="94"/>
      <c r="C92" s="95"/>
      <c r="D92" s="95"/>
      <c r="E92" s="95"/>
    </row>
    <row r="93" spans="1:5" ht="15.75">
      <c r="A93" s="94"/>
      <c r="B93" s="94"/>
      <c r="C93" s="95"/>
      <c r="D93" s="95"/>
      <c r="E93" s="95"/>
    </row>
    <row r="94" spans="1:5" ht="15.75">
      <c r="A94" s="94"/>
      <c r="B94" s="94"/>
      <c r="C94" s="95"/>
      <c r="D94" s="95"/>
      <c r="E94" s="95"/>
    </row>
    <row r="95" spans="1:5" ht="15.75">
      <c r="A95" s="94"/>
      <c r="B95" s="94"/>
      <c r="C95" s="95"/>
      <c r="D95" s="95"/>
      <c r="E95" s="95"/>
    </row>
    <row r="96" spans="1:5" ht="15.75">
      <c r="A96" s="94"/>
      <c r="B96" s="94"/>
      <c r="C96" s="95"/>
      <c r="D96" s="95"/>
      <c r="E96" s="95"/>
    </row>
    <row r="97" spans="1:5" ht="15.75">
      <c r="A97" s="94"/>
      <c r="B97" s="94"/>
      <c r="C97" s="95"/>
      <c r="D97" s="95"/>
      <c r="E97" s="95"/>
    </row>
    <row r="98" spans="1:5" ht="15.75">
      <c r="A98" s="94"/>
      <c r="B98" s="94"/>
      <c r="C98" s="95"/>
      <c r="D98" s="95"/>
      <c r="E98" s="95"/>
    </row>
    <row r="99" spans="1:5" ht="15.75">
      <c r="A99" s="94"/>
      <c r="B99" s="94"/>
      <c r="C99" s="95"/>
      <c r="D99" s="95"/>
      <c r="E99" s="95"/>
    </row>
    <row r="100" spans="1:5" ht="15.75">
      <c r="A100" s="94"/>
      <c r="B100" s="94"/>
      <c r="C100" s="95"/>
      <c r="D100" s="95"/>
      <c r="E100" s="95"/>
    </row>
    <row r="101" spans="1:5" ht="15.75">
      <c r="A101" s="94"/>
      <c r="B101" s="94"/>
      <c r="C101" s="95"/>
      <c r="D101" s="95"/>
      <c r="E101" s="95"/>
    </row>
    <row r="102" spans="1:5" ht="15.75">
      <c r="A102" s="94"/>
      <c r="B102" s="94"/>
      <c r="C102" s="95"/>
      <c r="D102" s="95"/>
      <c r="E102" s="95"/>
    </row>
    <row r="103" spans="1:5" ht="15.75">
      <c r="A103" s="94"/>
      <c r="B103" s="94"/>
      <c r="C103" s="95"/>
      <c r="D103" s="95"/>
      <c r="E103" s="95"/>
    </row>
    <row r="104" spans="1:5" ht="15.75">
      <c r="A104" s="94"/>
      <c r="B104" s="94"/>
      <c r="C104" s="95"/>
      <c r="D104" s="95"/>
      <c r="E104" s="95"/>
    </row>
    <row r="105" spans="1:5" ht="15.75">
      <c r="A105" s="94"/>
      <c r="B105" s="94"/>
      <c r="C105" s="95"/>
      <c r="D105" s="95"/>
      <c r="E105" s="95"/>
    </row>
    <row r="106" spans="1:5" ht="15.75">
      <c r="A106" s="94"/>
      <c r="B106" s="94"/>
      <c r="C106" s="95"/>
      <c r="D106" s="95"/>
      <c r="E106" s="95"/>
    </row>
    <row r="107" spans="1:5" ht="15.75">
      <c r="A107" s="94"/>
      <c r="B107" s="94"/>
      <c r="C107" s="95"/>
      <c r="D107" s="95"/>
      <c r="E107" s="95"/>
    </row>
    <row r="108" spans="1:5" ht="15.75">
      <c r="A108" s="94"/>
      <c r="B108" s="94"/>
      <c r="C108" s="95"/>
      <c r="D108" s="95"/>
      <c r="E108" s="95"/>
    </row>
    <row r="109" spans="1:5" ht="15.75">
      <c r="A109" s="94"/>
      <c r="B109" s="94"/>
      <c r="C109" s="95"/>
      <c r="D109" s="95"/>
      <c r="E109" s="95"/>
    </row>
    <row r="110" spans="1:5" ht="15.75">
      <c r="A110" s="94"/>
      <c r="B110" s="94"/>
      <c r="C110" s="95"/>
      <c r="D110" s="95"/>
      <c r="E110" s="95"/>
    </row>
    <row r="111" spans="1:5" ht="15.75">
      <c r="A111" s="94"/>
      <c r="B111" s="94"/>
      <c r="C111" s="95"/>
      <c r="D111" s="95"/>
      <c r="E111" s="95"/>
    </row>
    <row r="112" spans="1:5" ht="15.75">
      <c r="A112" s="94"/>
      <c r="B112" s="94"/>
      <c r="C112" s="95"/>
      <c r="D112" s="95"/>
      <c r="E112" s="95"/>
    </row>
    <row r="113" spans="1:5" ht="15.75">
      <c r="A113" s="94"/>
      <c r="B113" s="94"/>
      <c r="C113" s="95"/>
      <c r="D113" s="95"/>
      <c r="E113" s="95"/>
    </row>
    <row r="114" spans="1:5" ht="15.75">
      <c r="A114" s="94"/>
      <c r="B114" s="94"/>
      <c r="C114" s="95"/>
      <c r="D114" s="95"/>
      <c r="E114" s="95"/>
    </row>
    <row r="115" spans="1:5" ht="15.75">
      <c r="A115" s="94"/>
      <c r="B115" s="94"/>
      <c r="C115" s="95"/>
      <c r="D115" s="95"/>
      <c r="E115" s="95"/>
    </row>
    <row r="116" spans="1:5" ht="15.75">
      <c r="A116" s="94"/>
      <c r="B116" s="94"/>
      <c r="C116" s="95"/>
      <c r="D116" s="95"/>
      <c r="E116" s="95"/>
    </row>
    <row r="117" spans="1:5" ht="15.75">
      <c r="A117" s="94"/>
      <c r="B117" s="94"/>
      <c r="C117" s="95"/>
      <c r="D117" s="95"/>
      <c r="E117" s="95"/>
    </row>
    <row r="118" spans="1:5" ht="15.75">
      <c r="A118" s="94"/>
      <c r="B118" s="94"/>
      <c r="C118" s="95"/>
      <c r="D118" s="95"/>
      <c r="E118" s="95"/>
    </row>
    <row r="119" spans="1:5" ht="15.75">
      <c r="A119" s="94"/>
      <c r="B119" s="94"/>
      <c r="C119" s="95"/>
      <c r="D119" s="95"/>
      <c r="E119" s="95"/>
    </row>
    <row r="120" spans="1:5" ht="15.75">
      <c r="A120" s="94"/>
      <c r="B120" s="94"/>
      <c r="C120" s="95"/>
      <c r="D120" s="95"/>
      <c r="E120" s="95"/>
    </row>
    <row r="121" spans="1:5" ht="15.75">
      <c r="A121" s="94"/>
      <c r="B121" s="94"/>
      <c r="C121" s="95"/>
      <c r="D121" s="95"/>
      <c r="E121" s="95"/>
    </row>
    <row r="122" spans="1:5" ht="15.75">
      <c r="A122" s="94"/>
      <c r="B122" s="94"/>
      <c r="C122" s="95"/>
      <c r="D122" s="95"/>
      <c r="E122" s="95"/>
    </row>
    <row r="123" spans="1:5" ht="15.75">
      <c r="A123" s="94"/>
      <c r="B123" s="94"/>
      <c r="C123" s="95"/>
      <c r="D123" s="95"/>
      <c r="E123" s="95"/>
    </row>
    <row r="124" spans="1:5" ht="15.75">
      <c r="A124" s="94"/>
      <c r="B124" s="94"/>
      <c r="C124" s="95"/>
      <c r="D124" s="95"/>
      <c r="E124" s="95"/>
    </row>
    <row r="125" spans="1:5" ht="15.75">
      <c r="A125" s="94"/>
      <c r="B125" s="94"/>
      <c r="C125" s="95"/>
      <c r="D125" s="95"/>
      <c r="E125" s="95"/>
    </row>
    <row r="126" spans="1:5" ht="15.75">
      <c r="A126" s="94"/>
      <c r="B126" s="94"/>
      <c r="C126" s="95"/>
      <c r="D126" s="95"/>
      <c r="E126" s="95"/>
    </row>
    <row r="127" spans="1:5" ht="15.75">
      <c r="A127" s="94"/>
      <c r="B127" s="94"/>
      <c r="C127" s="95"/>
      <c r="D127" s="95"/>
      <c r="E127" s="95"/>
    </row>
    <row r="128" spans="1:5" ht="15.75">
      <c r="A128" s="94"/>
      <c r="B128" s="94"/>
      <c r="C128" s="95"/>
      <c r="D128" s="95"/>
      <c r="E128" s="95"/>
    </row>
    <row r="129" spans="1:5" ht="15.75">
      <c r="A129" s="94"/>
      <c r="B129" s="94"/>
      <c r="C129" s="95"/>
      <c r="D129" s="95"/>
      <c r="E129" s="95"/>
    </row>
    <row r="130" spans="1:5" ht="15.75">
      <c r="A130" s="94"/>
      <c r="B130" s="94"/>
      <c r="C130" s="95"/>
      <c r="D130" s="95"/>
      <c r="E130" s="95"/>
    </row>
    <row r="131" spans="1:5" ht="15.75">
      <c r="A131" s="94"/>
      <c r="B131" s="94"/>
      <c r="C131" s="95"/>
      <c r="D131" s="95"/>
      <c r="E131" s="95"/>
    </row>
    <row r="132" spans="1:5" ht="15.75">
      <c r="A132" s="94"/>
      <c r="B132" s="94"/>
      <c r="C132" s="95"/>
      <c r="D132" s="95"/>
      <c r="E132" s="95"/>
    </row>
    <row r="133" spans="1:5" ht="15.75">
      <c r="A133" s="94"/>
      <c r="B133" s="94"/>
      <c r="C133" s="95"/>
      <c r="D133" s="95"/>
      <c r="E133" s="95"/>
    </row>
    <row r="134" spans="1:5" ht="15.75">
      <c r="A134" s="94"/>
      <c r="B134" s="94"/>
      <c r="C134" s="95"/>
      <c r="D134" s="95"/>
      <c r="E134" s="95"/>
    </row>
    <row r="135" spans="1:5" ht="15.75">
      <c r="A135" s="94"/>
      <c r="B135" s="94"/>
      <c r="C135" s="95"/>
      <c r="D135" s="95"/>
      <c r="E135" s="95"/>
    </row>
    <row r="136" spans="1:5" ht="15.75">
      <c r="A136" s="94"/>
      <c r="B136" s="94"/>
      <c r="C136" s="95"/>
      <c r="D136" s="95"/>
      <c r="E136" s="95"/>
    </row>
    <row r="137" spans="1:5" ht="15.75">
      <c r="A137" s="94"/>
      <c r="B137" s="94"/>
      <c r="C137" s="95"/>
      <c r="D137" s="95"/>
      <c r="E137" s="95"/>
    </row>
    <row r="138" spans="1:5" ht="15.75">
      <c r="A138" s="94"/>
      <c r="B138" s="94"/>
      <c r="C138" s="95"/>
      <c r="D138" s="95"/>
      <c r="E138" s="95"/>
    </row>
    <row r="139" spans="1:5" ht="15.75">
      <c r="A139" s="94"/>
      <c r="B139" s="94"/>
      <c r="C139" s="95"/>
      <c r="D139" s="95"/>
      <c r="E139" s="95"/>
    </row>
    <row r="140" spans="1:5" ht="15.75">
      <c r="A140" s="94"/>
      <c r="B140" s="94"/>
      <c r="C140" s="95"/>
      <c r="D140" s="95"/>
      <c r="E140" s="95"/>
    </row>
    <row r="141" spans="1:5" ht="15.75">
      <c r="A141" s="94"/>
      <c r="B141" s="94"/>
      <c r="C141" s="95"/>
      <c r="D141" s="95"/>
      <c r="E141" s="95"/>
    </row>
    <row r="142" spans="1:5" ht="15.75">
      <c r="A142" s="94"/>
      <c r="B142" s="94"/>
      <c r="C142" s="95"/>
      <c r="D142" s="95"/>
      <c r="E142" s="95"/>
    </row>
    <row r="143" spans="1:5" ht="15.75">
      <c r="A143" s="94"/>
      <c r="B143" s="94"/>
      <c r="C143" s="95"/>
      <c r="D143" s="95"/>
      <c r="E143" s="95"/>
    </row>
    <row r="144" spans="1:5" ht="15.75">
      <c r="A144" s="94"/>
      <c r="B144" s="94"/>
      <c r="C144" s="95"/>
      <c r="D144" s="95"/>
      <c r="E144" s="95"/>
    </row>
    <row r="145" spans="1:5" ht="15.75">
      <c r="A145" s="94"/>
      <c r="B145" s="94"/>
      <c r="C145" s="95"/>
      <c r="D145" s="95"/>
      <c r="E145" s="95"/>
    </row>
    <row r="146" spans="1:5" ht="15.75">
      <c r="A146" s="94"/>
      <c r="B146" s="94"/>
      <c r="C146" s="95"/>
      <c r="D146" s="95"/>
      <c r="E146" s="95"/>
    </row>
    <row r="147" spans="1:4" ht="15.75">
      <c r="A147" s="94"/>
      <c r="B147" s="94"/>
      <c r="C147" s="95"/>
      <c r="D147" s="95"/>
    </row>
    <row r="148" spans="1:4" ht="15.75">
      <c r="A148" s="94"/>
      <c r="B148" s="94"/>
      <c r="C148" s="95"/>
      <c r="D148" s="95"/>
    </row>
    <row r="149" spans="1:4" ht="15.75">
      <c r="A149" s="94"/>
      <c r="B149" s="94"/>
      <c r="C149" s="95"/>
      <c r="D149" s="95"/>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9" customWidth="1"/>
    <col min="2" max="2" width="17.00390625" style="9" customWidth="1"/>
    <col min="3" max="3" width="16.00390625" style="9" customWidth="1"/>
    <col min="4" max="4" width="10.28125" style="214" customWidth="1"/>
    <col min="5" max="5" width="5.28125" style="9" customWidth="1"/>
    <col min="6" max="6" width="16.57421875" style="9" customWidth="1"/>
    <col min="7" max="7" width="14.57421875" style="9" customWidth="1"/>
    <col min="8" max="8" width="14.28125" style="55" customWidth="1"/>
    <col min="9" max="9" width="17.8515625" style="55" bestFit="1" customWidth="1"/>
    <col min="10" max="10" width="25.421875" style="8" customWidth="1"/>
    <col min="11" max="11" width="13.421875" style="145" customWidth="1"/>
    <col min="12" max="12" width="5.8515625" style="190" customWidth="1"/>
    <col min="13" max="13" width="14.8515625" style="190" customWidth="1"/>
    <col min="14" max="14" width="9.7109375" style="55" customWidth="1"/>
    <col min="15" max="15" width="11.57421875" style="226" bestFit="1" customWidth="1"/>
    <col min="16" max="16" width="11.57421875" style="55" bestFit="1" customWidth="1"/>
    <col min="17" max="16384" width="9.140625" style="55" customWidth="1"/>
  </cols>
  <sheetData>
    <row r="1" spans="1:15" s="52" customFormat="1" ht="22.5" customHeight="1">
      <c r="A1" s="931" t="s">
        <v>260</v>
      </c>
      <c r="B1" s="931"/>
      <c r="C1" s="931"/>
      <c r="D1" s="931"/>
      <c r="E1" s="931"/>
      <c r="F1" s="931"/>
      <c r="G1" s="931"/>
      <c r="H1" s="970" t="s">
        <v>417</v>
      </c>
      <c r="I1" s="971"/>
      <c r="J1" s="971"/>
      <c r="K1" s="971"/>
      <c r="L1" s="971"/>
      <c r="M1" s="972"/>
      <c r="O1" s="227"/>
    </row>
    <row r="2" spans="1:15" s="19" customFormat="1" ht="18.75">
      <c r="A2" s="975"/>
      <c r="B2" s="975"/>
      <c r="C2" s="975"/>
      <c r="D2" s="975"/>
      <c r="E2" s="975"/>
      <c r="F2" s="975"/>
      <c r="G2" s="975"/>
      <c r="H2" s="973" t="s">
        <v>418</v>
      </c>
      <c r="I2" s="969"/>
      <c r="J2" s="969"/>
      <c r="K2" s="969"/>
      <c r="L2" s="969"/>
      <c r="M2" s="974"/>
      <c r="O2" s="228"/>
    </row>
    <row r="3" spans="1:13" ht="12.75">
      <c r="A3" s="53"/>
      <c r="B3" s="54"/>
      <c r="C3" s="54"/>
      <c r="D3" s="208"/>
      <c r="E3" s="54"/>
      <c r="F3" s="54"/>
      <c r="G3" s="54"/>
      <c r="H3" s="68" t="s">
        <v>14</v>
      </c>
      <c r="I3" s="11" t="s">
        <v>467</v>
      </c>
      <c r="J3" s="11"/>
      <c r="K3" s="268"/>
      <c r="L3" s="182" t="s">
        <v>465</v>
      </c>
      <c r="M3" s="181" t="s">
        <v>469</v>
      </c>
    </row>
    <row r="4" spans="1:15" s="56" customFormat="1" ht="15.75">
      <c r="A4" s="969" t="s">
        <v>192</v>
      </c>
      <c r="B4" s="969"/>
      <c r="C4" s="969"/>
      <c r="D4" s="969"/>
      <c r="E4" s="969"/>
      <c r="F4" s="969"/>
      <c r="G4" s="969"/>
      <c r="H4" s="68" t="s">
        <v>419</v>
      </c>
      <c r="I4" s="69"/>
      <c r="J4" s="69"/>
      <c r="K4" s="269"/>
      <c r="L4" s="182"/>
      <c r="M4" s="183"/>
      <c r="O4" s="229"/>
    </row>
    <row r="5" spans="1:16" s="56" customFormat="1" ht="15.75">
      <c r="A5" s="969" t="s">
        <v>11</v>
      </c>
      <c r="B5" s="969"/>
      <c r="C5" s="969"/>
      <c r="D5" s="969"/>
      <c r="E5" s="969"/>
      <c r="F5" s="969"/>
      <c r="G5" s="969"/>
      <c r="H5" s="68" t="s">
        <v>420</v>
      </c>
      <c r="I5" s="69" t="s">
        <v>421</v>
      </c>
      <c r="J5" s="69" t="s">
        <v>422</v>
      </c>
      <c r="K5" s="269" t="s">
        <v>423</v>
      </c>
      <c r="L5" s="180"/>
      <c r="M5" s="183" t="s">
        <v>424</v>
      </c>
      <c r="O5" s="229"/>
      <c r="P5" s="229"/>
    </row>
    <row r="6" spans="1:16" ht="12.75">
      <c r="A6" s="57"/>
      <c r="B6" s="57"/>
      <c r="C6" s="57"/>
      <c r="D6" s="209"/>
      <c r="E6" s="57"/>
      <c r="F6" s="57"/>
      <c r="G6" s="57"/>
      <c r="H6" s="70"/>
      <c r="I6" s="71"/>
      <c r="J6" s="71"/>
      <c r="K6" s="270"/>
      <c r="L6" s="184"/>
      <c r="M6" s="185"/>
      <c r="O6" s="71"/>
      <c r="P6" s="71"/>
    </row>
    <row r="7" spans="1:16" ht="38.25">
      <c r="A7" s="58"/>
      <c r="B7" s="59" t="s">
        <v>451</v>
      </c>
      <c r="C7" s="59" t="s">
        <v>452</v>
      </c>
      <c r="D7" s="210" t="s">
        <v>453</v>
      </c>
      <c r="E7" s="59"/>
      <c r="F7" s="59" t="s">
        <v>205</v>
      </c>
      <c r="G7" s="59" t="s">
        <v>454</v>
      </c>
      <c r="H7" s="72">
        <v>37621</v>
      </c>
      <c r="I7" s="11" t="s">
        <v>459</v>
      </c>
      <c r="J7" s="11" t="s">
        <v>227</v>
      </c>
      <c r="K7" s="268">
        <f>+F23</f>
        <v>2206.52</v>
      </c>
      <c r="L7" s="184"/>
      <c r="M7" s="181"/>
      <c r="P7" s="226"/>
    </row>
    <row r="8" spans="1:13" ht="12.75" hidden="1">
      <c r="A8" s="11"/>
      <c r="B8" s="11"/>
      <c r="C8" s="11"/>
      <c r="D8" s="211"/>
      <c r="E8" s="60"/>
      <c r="F8" s="60"/>
      <c r="G8" s="60"/>
      <c r="H8" s="67"/>
      <c r="I8" s="11" t="s">
        <v>235</v>
      </c>
      <c r="J8" s="11" t="s">
        <v>227</v>
      </c>
      <c r="K8" s="268">
        <f>+F29</f>
        <v>55.86</v>
      </c>
      <c r="L8" s="184"/>
      <c r="M8" s="181"/>
    </row>
    <row r="9" spans="1:16" ht="12.75" hidden="1">
      <c r="A9" s="11"/>
      <c r="B9" s="66"/>
      <c r="C9" s="66"/>
      <c r="D9" s="211"/>
      <c r="E9" s="60"/>
      <c r="F9" s="60"/>
      <c r="G9" s="60"/>
      <c r="H9" s="67"/>
      <c r="I9" s="11" t="s">
        <v>229</v>
      </c>
      <c r="J9" s="11" t="s">
        <v>227</v>
      </c>
      <c r="K9" s="268">
        <f>+F35</f>
        <v>51079.75</v>
      </c>
      <c r="L9" s="184"/>
      <c r="M9" s="181"/>
      <c r="P9" s="226"/>
    </row>
    <row r="10" spans="1:13" ht="12.75" hidden="1">
      <c r="A10" s="61"/>
      <c r="B10" s="65"/>
      <c r="C10" s="65"/>
      <c r="D10" s="222"/>
      <c r="E10" s="62"/>
      <c r="F10" s="62"/>
      <c r="G10" s="62"/>
      <c r="H10" s="67"/>
      <c r="I10" s="11" t="s">
        <v>0</v>
      </c>
      <c r="J10" s="11" t="s">
        <v>227</v>
      </c>
      <c r="K10" s="268">
        <f>+F41</f>
        <v>60568.8</v>
      </c>
      <c r="L10" s="184"/>
      <c r="M10" s="181"/>
    </row>
    <row r="11" spans="1:16" ht="12.75" hidden="1">
      <c r="A11" s="11"/>
      <c r="B11" s="215"/>
      <c r="C11" s="274"/>
      <c r="D11" s="211"/>
      <c r="E11" s="207"/>
      <c r="F11" s="285"/>
      <c r="G11" s="215"/>
      <c r="H11" s="67"/>
      <c r="I11" s="11" t="s">
        <v>236</v>
      </c>
      <c r="J11" s="11" t="s">
        <v>228</v>
      </c>
      <c r="K11" s="268">
        <f>+F30</f>
        <v>0</v>
      </c>
      <c r="L11" s="184"/>
      <c r="M11" s="181"/>
      <c r="P11" s="226"/>
    </row>
    <row r="12" spans="1:16" ht="12.75" hidden="1">
      <c r="A12" s="11"/>
      <c r="B12" s="215"/>
      <c r="C12" s="274"/>
      <c r="D12" s="211"/>
      <c r="E12" s="207"/>
      <c r="F12" s="287"/>
      <c r="G12" s="215"/>
      <c r="H12" s="67"/>
      <c r="I12" s="11" t="s">
        <v>31</v>
      </c>
      <c r="J12" s="11" t="s">
        <v>228</v>
      </c>
      <c r="K12" s="268">
        <f>+F36</f>
        <v>2606.21</v>
      </c>
      <c r="L12" s="184"/>
      <c r="M12" s="181"/>
      <c r="P12" s="226"/>
    </row>
    <row r="13" spans="1:13" ht="12.75" hidden="1">
      <c r="A13" s="11"/>
      <c r="B13" s="215"/>
      <c r="C13" s="275"/>
      <c r="D13" s="211"/>
      <c r="E13" s="207"/>
      <c r="F13" s="287"/>
      <c r="G13" s="215"/>
      <c r="H13" s="67"/>
      <c r="I13" s="11" t="s">
        <v>1</v>
      </c>
      <c r="J13" s="11" t="s">
        <v>228</v>
      </c>
      <c r="K13" s="268">
        <f>+F42</f>
        <v>23392.86</v>
      </c>
      <c r="L13" s="184"/>
      <c r="M13" s="181"/>
    </row>
    <row r="14" spans="2:16" ht="12.75" hidden="1">
      <c r="B14" s="177"/>
      <c r="C14" s="276"/>
      <c r="D14" s="211"/>
      <c r="E14" s="217"/>
      <c r="F14" s="286"/>
      <c r="G14" s="217"/>
      <c r="H14" s="67"/>
      <c r="I14" s="11" t="s">
        <v>230</v>
      </c>
      <c r="J14" s="11" t="s">
        <v>201</v>
      </c>
      <c r="K14" s="268">
        <f>+F37</f>
        <v>0</v>
      </c>
      <c r="L14" s="237"/>
      <c r="M14" s="238"/>
      <c r="P14" s="226"/>
    </row>
    <row r="15" spans="2:13" ht="12.75">
      <c r="B15" s="178"/>
      <c r="C15" s="277"/>
      <c r="D15" s="222"/>
      <c r="E15" s="207"/>
      <c r="F15" s="280"/>
      <c r="G15" s="207"/>
      <c r="H15" s="67"/>
      <c r="I15" s="11"/>
      <c r="J15" s="11"/>
      <c r="K15" s="268"/>
      <c r="L15" s="184"/>
      <c r="M15" s="181"/>
    </row>
    <row r="16" spans="1:13" ht="12.75">
      <c r="A16" s="61" t="s">
        <v>245</v>
      </c>
      <c r="B16" s="178"/>
      <c r="C16" s="178"/>
      <c r="D16" s="222"/>
      <c r="E16" s="207"/>
      <c r="F16" s="280"/>
      <c r="G16" s="207"/>
      <c r="H16" s="67"/>
      <c r="I16" s="11"/>
      <c r="J16" s="11"/>
      <c r="K16" s="268"/>
      <c r="L16" s="184"/>
      <c r="M16" s="181"/>
    </row>
    <row r="17" spans="1:13" ht="12.75">
      <c r="A17" s="11" t="s">
        <v>455</v>
      </c>
      <c r="B17" s="215">
        <f>+'[1]TB3-31-04 (Pre)'!G469</f>
        <v>0</v>
      </c>
      <c r="C17" s="215">
        <f>SUM('[1]TB03-31-04(Final)'!F361:F364)</f>
        <v>0</v>
      </c>
      <c r="D17" s="855" t="e">
        <f>C17/C20</f>
        <v>#DIV/0!</v>
      </c>
      <c r="E17" s="207"/>
      <c r="F17" s="278" t="e">
        <f>SUM('[1]TB03-31-04(Final)'!F523:F524)</f>
        <v>#REF!</v>
      </c>
      <c r="G17" s="215" t="e">
        <f>+B17+F17</f>
        <v>#REF!</v>
      </c>
      <c r="H17" s="240" t="s">
        <v>12</v>
      </c>
      <c r="I17" s="11" t="s">
        <v>461</v>
      </c>
      <c r="J17" s="11" t="s">
        <v>462</v>
      </c>
      <c r="K17" s="268"/>
      <c r="L17" s="180"/>
      <c r="M17" s="181">
        <f>SUM(K7:K17)+0.01</f>
        <v>139910.01</v>
      </c>
    </row>
    <row r="18" spans="1:16" ht="12.75">
      <c r="A18" s="11" t="s">
        <v>456</v>
      </c>
      <c r="B18" s="215" t="e">
        <f>+'[1]TB03-31-04(Final)'!F469+'[1]TB03-31-04(Final)'!F470</f>
        <v>#REF!</v>
      </c>
      <c r="C18" s="215">
        <f>SUM('[1]TB03-31-04(Final)'!F370:F372)</f>
        <v>0</v>
      </c>
      <c r="D18" s="855" t="e">
        <f>C18/C20</f>
        <v>#DIV/0!</v>
      </c>
      <c r="E18" s="207"/>
      <c r="F18" s="278" t="e">
        <f>SUM('[1]TB03-31-04(Final)'!F530:F531)</f>
        <v>#REF!</v>
      </c>
      <c r="G18" s="215" t="e">
        <f>+B18+F18</f>
        <v>#REF!</v>
      </c>
      <c r="H18" s="240" t="s">
        <v>13</v>
      </c>
      <c r="I18" s="11"/>
      <c r="J18" s="11"/>
      <c r="K18" s="268"/>
      <c r="L18" s="180"/>
      <c r="M18" s="181"/>
      <c r="P18" s="226"/>
    </row>
    <row r="19" spans="1:13" ht="12.75">
      <c r="A19" s="11" t="s">
        <v>400</v>
      </c>
      <c r="B19" s="215">
        <v>0</v>
      </c>
      <c r="C19" s="216">
        <v>0</v>
      </c>
      <c r="D19" s="855" t="e">
        <f>C19/C20</f>
        <v>#DIV/0!</v>
      </c>
      <c r="E19" s="207"/>
      <c r="F19" s="278">
        <v>0</v>
      </c>
      <c r="G19" s="215">
        <v>0</v>
      </c>
      <c r="H19" s="67"/>
      <c r="I19" s="11"/>
      <c r="J19" s="11"/>
      <c r="K19" s="268"/>
      <c r="L19" s="180"/>
      <c r="M19" s="181"/>
    </row>
    <row r="20" spans="1:17" ht="13.5" thickBot="1">
      <c r="A20" s="9" t="s">
        <v>413</v>
      </c>
      <c r="B20" s="177" t="e">
        <f>SUM(B17:B19)</f>
        <v>#REF!</v>
      </c>
      <c r="C20" s="177">
        <f>SUM(C17:C19)</f>
        <v>0</v>
      </c>
      <c r="D20" s="853">
        <f>C20/$C$49</f>
        <v>0</v>
      </c>
      <c r="E20" s="217"/>
      <c r="F20" s="279" t="e">
        <f>SUM(F17:F19)</f>
        <v>#REF!</v>
      </c>
      <c r="G20" s="217" t="e">
        <f>SUM(G17:G19)</f>
        <v>#REF!</v>
      </c>
      <c r="H20" s="68" t="s">
        <v>425</v>
      </c>
      <c r="I20" s="11"/>
      <c r="J20" s="11"/>
      <c r="K20" s="283">
        <f>SUM(K7:K14)+0.01</f>
        <v>139910.01</v>
      </c>
      <c r="L20" s="186"/>
      <c r="M20" s="187">
        <f>SUM(M7:M19)</f>
        <v>139910.01</v>
      </c>
      <c r="N20" s="239"/>
      <c r="O20" s="236"/>
      <c r="P20" s="239"/>
      <c r="Q20" s="239">
        <f>SUM(P7:P18)</f>
        <v>0</v>
      </c>
    </row>
    <row r="21" spans="2:13" ht="13.5" thickTop="1">
      <c r="B21" s="178"/>
      <c r="C21" s="178"/>
      <c r="D21" s="856"/>
      <c r="E21" s="207"/>
      <c r="F21" s="280"/>
      <c r="G21" s="207"/>
      <c r="H21" s="67"/>
      <c r="I21" s="11"/>
      <c r="J21" s="11"/>
      <c r="K21" s="268"/>
      <c r="L21" s="180"/>
      <c r="M21" s="282">
        <f>+F53</f>
        <v>495387.39</v>
      </c>
    </row>
    <row r="22" spans="1:13" ht="12.75">
      <c r="A22" s="61">
        <v>2000</v>
      </c>
      <c r="B22" s="178"/>
      <c r="C22" s="178"/>
      <c r="D22" s="856"/>
      <c r="E22" s="207"/>
      <c r="F22" s="280"/>
      <c r="G22" s="207"/>
      <c r="H22" s="67"/>
      <c r="I22" s="11"/>
      <c r="J22" s="11"/>
      <c r="K22" s="268"/>
      <c r="L22" s="180"/>
      <c r="M22" s="181"/>
    </row>
    <row r="23" spans="1:15" ht="12.75">
      <c r="A23" s="11" t="s">
        <v>455</v>
      </c>
      <c r="B23" s="178">
        <f>+'[1]TB3-31-04 (Pre)'!F470</f>
        <v>980.5</v>
      </c>
      <c r="C23" s="215">
        <f>+'[1]TB3-31-04 (Pre)'!F362</f>
        <v>59250</v>
      </c>
      <c r="D23" s="853">
        <f>C23/C26</f>
        <v>1</v>
      </c>
      <c r="E23" s="207"/>
      <c r="F23" s="278">
        <f>+'[1]TB3-31-04 (Pre)'!F517</f>
        <v>2206.52</v>
      </c>
      <c r="G23" s="215">
        <f>B23+F23</f>
        <v>3187.02</v>
      </c>
      <c r="H23" s="68" t="s">
        <v>426</v>
      </c>
      <c r="I23" s="69" t="s">
        <v>202</v>
      </c>
      <c r="J23" s="69"/>
      <c r="K23" s="268"/>
      <c r="L23" s="180"/>
      <c r="M23" s="181" t="s">
        <v>270</v>
      </c>
      <c r="O23" s="55"/>
    </row>
    <row r="24" spans="1:16" ht="12.75">
      <c r="A24" s="11" t="s">
        <v>456</v>
      </c>
      <c r="B24" s="215">
        <f>+'[1]TB03-31-04(Final)'!F471</f>
        <v>0</v>
      </c>
      <c r="C24" s="215">
        <f>+'[1]TB3-31-04 (Pre)'!F370</f>
        <v>0</v>
      </c>
      <c r="D24" s="853">
        <f>C24/C26</f>
        <v>0</v>
      </c>
      <c r="E24" s="207"/>
      <c r="F24" s="278">
        <f>+'[1]TB03-31-04(Final)'!F532</f>
        <v>0</v>
      </c>
      <c r="G24" s="215">
        <f>B24+F24</f>
        <v>0</v>
      </c>
      <c r="H24" s="68" t="s">
        <v>466</v>
      </c>
      <c r="I24" s="69" t="s">
        <v>468</v>
      </c>
      <c r="J24" s="69"/>
      <c r="K24" s="268"/>
      <c r="L24" s="180"/>
      <c r="M24" s="181"/>
      <c r="O24" s="231"/>
      <c r="P24" s="232"/>
    </row>
    <row r="25" spans="1:16" ht="12.75">
      <c r="A25" s="11" t="s">
        <v>400</v>
      </c>
      <c r="B25" s="215">
        <f>+'[1]TB03-31-04(Final)'!D486</f>
        <v>-374.81</v>
      </c>
      <c r="C25" s="215">
        <v>0</v>
      </c>
      <c r="D25" s="853">
        <f>C25/C26</f>
        <v>0</v>
      </c>
      <c r="E25" s="207"/>
      <c r="F25" s="278">
        <v>0</v>
      </c>
      <c r="G25" s="215">
        <f>F25+B25</f>
        <v>-374.81</v>
      </c>
      <c r="H25" s="67"/>
      <c r="I25" s="73"/>
      <c r="J25" s="11"/>
      <c r="K25" s="268"/>
      <c r="L25" s="180"/>
      <c r="M25" s="181"/>
      <c r="O25" s="231"/>
      <c r="P25" s="232"/>
    </row>
    <row r="26" spans="1:15" ht="13.5" thickBot="1">
      <c r="A26" s="9" t="s">
        <v>413</v>
      </c>
      <c r="B26" s="177">
        <f>SUM(B23:B25)</f>
        <v>605.69</v>
      </c>
      <c r="C26" s="177">
        <f>SUM(C23:C25)</f>
        <v>59250</v>
      </c>
      <c r="D26" s="853">
        <f>C26/$C$49</f>
        <v>0.015765811858006993</v>
      </c>
      <c r="E26" s="217"/>
      <c r="F26" s="279">
        <f>SUM(F23:F25)</f>
        <v>2206.52</v>
      </c>
      <c r="G26" s="217">
        <f>SUM(G23:G25)</f>
        <v>2812.21</v>
      </c>
      <c r="H26" s="68" t="s">
        <v>427</v>
      </c>
      <c r="I26" s="74"/>
      <c r="J26" s="74"/>
      <c r="K26" s="268"/>
      <c r="L26" s="180"/>
      <c r="M26" s="181"/>
      <c r="O26" s="55"/>
    </row>
    <row r="27" spans="2:13" ht="12.75">
      <c r="B27" s="178"/>
      <c r="C27" s="178"/>
      <c r="D27" s="856"/>
      <c r="E27" s="207"/>
      <c r="F27" s="280"/>
      <c r="G27" s="207"/>
      <c r="H27" s="68"/>
      <c r="I27" s="69" t="s">
        <v>196</v>
      </c>
      <c r="J27" s="69"/>
      <c r="K27" s="268"/>
      <c r="L27" s="180"/>
      <c r="M27" s="181"/>
    </row>
    <row r="28" spans="1:13" ht="12.75">
      <c r="A28" s="61">
        <v>2001</v>
      </c>
      <c r="B28" s="178"/>
      <c r="C28" s="178"/>
      <c r="D28" s="856"/>
      <c r="E28" s="207"/>
      <c r="F28" s="280"/>
      <c r="G28" s="207"/>
      <c r="H28" s="68"/>
      <c r="I28" s="69"/>
      <c r="J28" s="69"/>
      <c r="K28" s="268"/>
      <c r="L28" s="180"/>
      <c r="M28" s="181"/>
    </row>
    <row r="29" spans="1:13" ht="13.5" thickBot="1">
      <c r="A29" s="11" t="s">
        <v>455</v>
      </c>
      <c r="B29" s="178">
        <f>+'[1]TB3-31-04 (Pre)'!F471</f>
        <v>728.14</v>
      </c>
      <c r="C29" s="215">
        <f>+'[1]TB3-31-04 (Pre)'!F363</f>
        <v>1500</v>
      </c>
      <c r="D29" s="853">
        <f>C29/C32</f>
        <v>1</v>
      </c>
      <c r="E29" s="207"/>
      <c r="F29" s="278">
        <f>+'[1]TB3-31-04 (Pre)'!F518</f>
        <v>55.86</v>
      </c>
      <c r="G29" s="215">
        <f>B29+F29</f>
        <v>784</v>
      </c>
      <c r="H29" s="68" t="s">
        <v>61</v>
      </c>
      <c r="I29" s="74"/>
      <c r="J29" s="74"/>
      <c r="K29" s="269" t="s">
        <v>420</v>
      </c>
      <c r="L29" s="182"/>
      <c r="M29" s="181"/>
    </row>
    <row r="30" spans="1:13" ht="12.75">
      <c r="A30" s="11" t="s">
        <v>456</v>
      </c>
      <c r="B30" s="215">
        <f>+'[1]TB3-31-04 (Pre)'!F478</f>
        <v>254</v>
      </c>
      <c r="C30" s="215">
        <f>+'[1]TB3-31-04 (Pre)'!F371</f>
        <v>0</v>
      </c>
      <c r="D30" s="853">
        <f>C30/C32</f>
        <v>0</v>
      </c>
      <c r="E30" s="207"/>
      <c r="F30" s="278">
        <f>+'[1]TB3-31-04 (Pre)'!F525</f>
        <v>0</v>
      </c>
      <c r="G30" s="215">
        <f>B30+F30</f>
        <v>254</v>
      </c>
      <c r="H30" s="68"/>
      <c r="I30" s="69" t="s">
        <v>464</v>
      </c>
      <c r="J30" s="69"/>
      <c r="K30" s="269"/>
      <c r="L30" s="182"/>
      <c r="M30" s="181"/>
    </row>
    <row r="31" spans="1:13" ht="12.75">
      <c r="A31" s="11" t="s">
        <v>400</v>
      </c>
      <c r="B31" s="216">
        <v>0</v>
      </c>
      <c r="C31" s="216">
        <v>0</v>
      </c>
      <c r="D31" s="853">
        <f>C31/C32</f>
        <v>0</v>
      </c>
      <c r="E31" s="207"/>
      <c r="F31" s="278">
        <f>+'[1]TB03-31-04(Final)'!F548</f>
        <v>1047.62</v>
      </c>
      <c r="G31" s="215">
        <f>F31+B31</f>
        <v>1047.62</v>
      </c>
      <c r="H31" s="68"/>
      <c r="I31" s="69"/>
      <c r="J31" s="69"/>
      <c r="K31" s="269"/>
      <c r="L31" s="182"/>
      <c r="M31" s="181"/>
    </row>
    <row r="32" spans="1:13" ht="13.5" thickBot="1">
      <c r="A32" s="9" t="s">
        <v>413</v>
      </c>
      <c r="B32" s="177">
        <f>SUM(B29:B31)</f>
        <v>982.14</v>
      </c>
      <c r="C32" s="177">
        <f>SUM(C29:C31)</f>
        <v>1500</v>
      </c>
      <c r="D32" s="853">
        <f>C32/$C$49</f>
        <v>0.00039913447741789855</v>
      </c>
      <c r="E32" s="217"/>
      <c r="F32" s="279">
        <f>SUM(F29:F31)</f>
        <v>1103.4799999999998</v>
      </c>
      <c r="G32" s="217">
        <f>SUM(G29:G31)</f>
        <v>2085.62</v>
      </c>
      <c r="H32" s="68" t="s">
        <v>428</v>
      </c>
      <c r="I32" s="74"/>
      <c r="J32" s="74"/>
      <c r="K32" s="269"/>
      <c r="L32" s="182"/>
      <c r="M32" s="181"/>
    </row>
    <row r="33" spans="2:13" ht="12.75">
      <c r="B33" s="178"/>
      <c r="C33" s="178"/>
      <c r="D33" s="856"/>
      <c r="E33" s="207"/>
      <c r="F33" s="280"/>
      <c r="G33" s="207"/>
      <c r="H33" s="68"/>
      <c r="I33" s="69" t="s">
        <v>429</v>
      </c>
      <c r="J33" s="69"/>
      <c r="K33" s="269"/>
      <c r="L33" s="182"/>
      <c r="M33" s="181"/>
    </row>
    <row r="34" spans="1:13" ht="12.75">
      <c r="A34" s="61">
        <v>2002</v>
      </c>
      <c r="B34" s="178"/>
      <c r="C34" s="178"/>
      <c r="D34" s="856"/>
      <c r="E34" s="207"/>
      <c r="F34" s="280"/>
      <c r="G34" s="207"/>
      <c r="H34" s="68"/>
      <c r="I34" s="69"/>
      <c r="J34" s="69"/>
      <c r="K34" s="269"/>
      <c r="L34" s="182" t="s">
        <v>431</v>
      </c>
      <c r="M34" s="181"/>
    </row>
    <row r="35" spans="1:13" ht="13.5" thickBot="1">
      <c r="A35" s="11" t="s">
        <v>455</v>
      </c>
      <c r="B35" s="178">
        <f>+'[1]TB3-31-04 (Pre)'!F472</f>
        <v>40871.79</v>
      </c>
      <c r="C35" s="215">
        <f>+'[1]TB3-31-04 (Pre)'!F364</f>
        <v>1371608.06</v>
      </c>
      <c r="D35" s="853">
        <f>C35/C38</f>
        <v>0.9514546164884548</v>
      </c>
      <c r="E35" s="218"/>
      <c r="F35" s="278">
        <f>+'[1]TB3-31-04 (Pre)'!F519</f>
        <v>51079.75</v>
      </c>
      <c r="G35" s="215">
        <f>B35+F35</f>
        <v>91951.54000000001</v>
      </c>
      <c r="H35" s="68" t="s">
        <v>430</v>
      </c>
      <c r="I35" s="74"/>
      <c r="J35" s="74"/>
      <c r="K35" s="269"/>
      <c r="L35" s="182"/>
      <c r="M35" s="181"/>
    </row>
    <row r="36" spans="1:13" ht="13.5" thickBot="1">
      <c r="A36" s="11" t="s">
        <v>456</v>
      </c>
      <c r="B36" s="215">
        <f>+'[1]TB3-31-04 (Pre)'!F479</f>
        <v>36651.02</v>
      </c>
      <c r="C36" s="215">
        <f>+'[1]TB3-31-04 (Pre)'!F372</f>
        <v>69982.57</v>
      </c>
      <c r="D36" s="853">
        <f>C36/C38</f>
        <v>0.04854538351154516</v>
      </c>
      <c r="E36" s="218"/>
      <c r="F36" s="278">
        <f>+'[1]TB3-31-04 (Pre)'!F526</f>
        <v>2606.21</v>
      </c>
      <c r="G36" s="215">
        <f>B36+F36</f>
        <v>39257.229999999996</v>
      </c>
      <c r="H36" s="75"/>
      <c r="I36" s="74" t="s">
        <v>238</v>
      </c>
      <c r="J36" s="74"/>
      <c r="K36" s="271"/>
      <c r="L36" s="188"/>
      <c r="M36" s="189"/>
    </row>
    <row r="37" spans="1:10" ht="12.75">
      <c r="A37" s="11" t="s">
        <v>400</v>
      </c>
      <c r="B37" s="216">
        <f>+'[1]TB03-31-04(Final)'!F479</f>
        <v>0</v>
      </c>
      <c r="C37" s="216">
        <f>+'[1]TB3-31-04 (Pre)'!F379</f>
        <v>0</v>
      </c>
      <c r="D37" s="853">
        <f>C37/C38</f>
        <v>0</v>
      </c>
      <c r="E37" s="218"/>
      <c r="F37" s="278">
        <f>+'[1]TB03-31-04(Final)'!F540</f>
        <v>0</v>
      </c>
      <c r="G37" s="215">
        <f>F37+B37</f>
        <v>0</v>
      </c>
      <c r="H37" s="9"/>
      <c r="I37" s="9"/>
      <c r="J37" s="9"/>
    </row>
    <row r="38" spans="1:10" ht="12.75">
      <c r="A38" s="9" t="s">
        <v>413</v>
      </c>
      <c r="B38" s="177">
        <f>SUM(B35:B37)</f>
        <v>77522.81</v>
      </c>
      <c r="C38" s="177">
        <f>SUM(C35:C37)</f>
        <v>1441590.6300000001</v>
      </c>
      <c r="D38" s="853">
        <f>C38/$C$49</f>
        <v>0.38359234850372614</v>
      </c>
      <c r="E38" s="219"/>
      <c r="F38" s="279">
        <f>SUM(F35:F37)</f>
        <v>53685.96</v>
      </c>
      <c r="G38" s="217">
        <f>SUM(G35:G37)</f>
        <v>131208.77000000002</v>
      </c>
      <c r="H38" s="9"/>
      <c r="I38" s="9"/>
      <c r="J38" s="9"/>
    </row>
    <row r="39" spans="2:10" ht="12.75">
      <c r="B39" s="176"/>
      <c r="C39" s="176"/>
      <c r="D39" s="853"/>
      <c r="E39" s="305"/>
      <c r="F39" s="278"/>
      <c r="G39" s="215"/>
      <c r="H39" s="9"/>
      <c r="I39" s="9"/>
      <c r="J39" s="9"/>
    </row>
    <row r="40" spans="1:15" s="139" customFormat="1" ht="12.75">
      <c r="A40" s="61">
        <v>2003</v>
      </c>
      <c r="B40" s="178"/>
      <c r="C40" s="178"/>
      <c r="D40" s="856"/>
      <c r="E40" s="207"/>
      <c r="F40" s="280"/>
      <c r="G40" s="207"/>
      <c r="H40" s="9"/>
      <c r="I40" s="9"/>
      <c r="J40" s="9"/>
      <c r="K40" s="145"/>
      <c r="L40" s="190"/>
      <c r="M40" s="190"/>
      <c r="O40" s="230"/>
    </row>
    <row r="41" spans="1:15" s="139" customFormat="1" ht="12.75">
      <c r="A41" s="11" t="s">
        <v>455</v>
      </c>
      <c r="B41" s="178">
        <f>+'[1]TB3-31-04 (Pre)'!F473</f>
        <v>87858.67</v>
      </c>
      <c r="C41" s="215">
        <f>+'[1]TB3-31-04 (Pre)'!F365</f>
        <v>1626410.46</v>
      </c>
      <c r="D41" s="853">
        <f>C41/C44</f>
        <v>0.7209933397914958</v>
      </c>
      <c r="E41" s="218"/>
      <c r="F41" s="278">
        <f>+'[1]TB3-31-04 (Pre)'!F520</f>
        <v>60568.8</v>
      </c>
      <c r="G41" s="215">
        <f>B41+F41</f>
        <v>148427.47</v>
      </c>
      <c r="H41" s="96"/>
      <c r="I41" s="96"/>
      <c r="J41" s="96"/>
      <c r="K41" s="284"/>
      <c r="L41" s="191"/>
      <c r="M41" s="191"/>
      <c r="O41" s="230"/>
    </row>
    <row r="42" spans="1:15" s="139" customFormat="1" ht="12.75">
      <c r="A42" s="11" t="s">
        <v>456</v>
      </c>
      <c r="B42" s="215">
        <f>+'[1]TB3-31-04 (Pre)'!F480</f>
        <v>122270.13</v>
      </c>
      <c r="C42" s="215">
        <f>+'[1]TB3-31-04 (Pre)'!F373</f>
        <v>628151.78</v>
      </c>
      <c r="D42" s="853">
        <f>C42/C44</f>
        <v>0.2784618402897956</v>
      </c>
      <c r="E42" s="218"/>
      <c r="F42" s="278">
        <f>+'[1]TB3-31-04 (Pre)'!F527</f>
        <v>23392.86</v>
      </c>
      <c r="G42" s="215">
        <f>B42+F42</f>
        <v>145662.99</v>
      </c>
      <c r="H42" s="96"/>
      <c r="I42" s="96"/>
      <c r="J42" s="96"/>
      <c r="K42" s="284"/>
      <c r="L42" s="191"/>
      <c r="M42" s="191"/>
      <c r="O42" s="230"/>
    </row>
    <row r="43" spans="1:15" s="139" customFormat="1" ht="12.75">
      <c r="A43" s="11" t="s">
        <v>400</v>
      </c>
      <c r="B43" s="216">
        <v>0</v>
      </c>
      <c r="C43" s="216">
        <f>+'[1]TB3-31-04 (Pre)'!F380</f>
        <v>1229</v>
      </c>
      <c r="D43" s="853">
        <f>C43/C44</f>
        <v>0.000544819918708435</v>
      </c>
      <c r="E43" s="218"/>
      <c r="F43" s="278">
        <f>+'[1]TB3-31-04 (Pre)'!F533</f>
        <v>45.77</v>
      </c>
      <c r="G43" s="215">
        <f>F43+B43</f>
        <v>45.77</v>
      </c>
      <c r="H43" s="96"/>
      <c r="I43" s="96"/>
      <c r="J43" s="96"/>
      <c r="K43" s="284"/>
      <c r="L43" s="191"/>
      <c r="M43" s="191"/>
      <c r="O43" s="230"/>
    </row>
    <row r="44" spans="1:13" ht="12.75">
      <c r="A44" s="9" t="s">
        <v>413</v>
      </c>
      <c r="B44" s="177">
        <f>SUM(B41:B43)</f>
        <v>210128.8</v>
      </c>
      <c r="C44" s="177">
        <f>SUM(C41:C43)</f>
        <v>2255791.24</v>
      </c>
      <c r="D44" s="853">
        <f>C44/$C$49</f>
        <v>0.600242705160849</v>
      </c>
      <c r="E44" s="219"/>
      <c r="F44" s="279">
        <f>SUM(F41:F43)</f>
        <v>84007.43000000001</v>
      </c>
      <c r="G44" s="217">
        <f>SUM(G41:G43)</f>
        <v>294136.23</v>
      </c>
      <c r="H44" s="96"/>
      <c r="I44" s="96"/>
      <c r="J44" s="96"/>
      <c r="K44" s="284"/>
      <c r="L44" s="191"/>
      <c r="M44" s="191"/>
    </row>
    <row r="45" spans="1:10" ht="12.75">
      <c r="A45" s="63" t="s">
        <v>457</v>
      </c>
      <c r="B45" s="178"/>
      <c r="C45" s="178"/>
      <c r="D45" s="856"/>
      <c r="E45" s="207"/>
      <c r="F45" s="280"/>
      <c r="G45" s="207"/>
      <c r="H45" s="9"/>
      <c r="I45" s="9"/>
      <c r="J45" s="9"/>
    </row>
    <row r="46" spans="1:7" ht="12.75">
      <c r="A46" s="69" t="s">
        <v>455</v>
      </c>
      <c r="B46" s="220">
        <f aca="true" t="shared" si="0" ref="B46:C48">+B11+B17+B23+B29+B35+B41</f>
        <v>130439.1</v>
      </c>
      <c r="C46" s="220">
        <f t="shared" si="0"/>
        <v>3058768.52</v>
      </c>
      <c r="D46" s="854">
        <f>C46/C49</f>
        <v>0.813906649848346</v>
      </c>
      <c r="E46" s="220"/>
      <c r="F46" s="307" t="e">
        <f>+F17+F23+F29+F35+F41</f>
        <v>#REF!</v>
      </c>
      <c r="G46" s="220" t="e">
        <f>B46+F46</f>
        <v>#REF!</v>
      </c>
    </row>
    <row r="47" spans="1:7" ht="12.75">
      <c r="A47" s="69" t="s">
        <v>456</v>
      </c>
      <c r="B47" s="220" t="e">
        <f t="shared" si="0"/>
        <v>#REF!</v>
      </c>
      <c r="C47" s="220">
        <f t="shared" si="0"/>
        <v>698134.3500000001</v>
      </c>
      <c r="D47" s="854">
        <f>C47/C49</f>
        <v>0.1857663259698229</v>
      </c>
      <c r="E47" s="220"/>
      <c r="F47" s="281" t="e">
        <f>+F18+F24+F30+F36+F42</f>
        <v>#REF!</v>
      </c>
      <c r="G47" s="220" t="e">
        <f>B47+F47</f>
        <v>#REF!</v>
      </c>
    </row>
    <row r="48" spans="1:7" ht="12.75">
      <c r="A48" s="69" t="s">
        <v>400</v>
      </c>
      <c r="B48" s="220">
        <f t="shared" si="0"/>
        <v>-374.81</v>
      </c>
      <c r="C48" s="220">
        <f t="shared" si="0"/>
        <v>1229</v>
      </c>
      <c r="D48" s="854">
        <f>C48/C49</f>
        <v>0.0003270241818310649</v>
      </c>
      <c r="E48" s="220"/>
      <c r="F48" s="281">
        <f>+F43+F37+F31+F25+F19</f>
        <v>1093.3899999999999</v>
      </c>
      <c r="G48" s="220">
        <f>B48+F48</f>
        <v>718.5799999999999</v>
      </c>
    </row>
    <row r="49" spans="1:7" ht="13.5" thickBot="1">
      <c r="A49" s="96" t="s">
        <v>413</v>
      </c>
      <c r="B49" s="316" t="e">
        <f>SUM(B46:B48)</f>
        <v>#REF!</v>
      </c>
      <c r="C49" s="316">
        <f>SUM(C46:C48)</f>
        <v>3758131.87</v>
      </c>
      <c r="D49" s="854">
        <f>C49/$C$49</f>
        <v>1</v>
      </c>
      <c r="E49" s="316"/>
      <c r="F49" s="317" t="e">
        <f>SUM(F46:F48)</f>
        <v>#REF!</v>
      </c>
      <c r="G49" s="316" t="e">
        <f>B49+F49</f>
        <v>#REF!</v>
      </c>
    </row>
    <row r="50" spans="1:15" s="679" customFormat="1" ht="13.5" thickTop="1">
      <c r="A50" s="675" t="s">
        <v>200</v>
      </c>
      <c r="B50" s="676">
        <f>+'[1]TB03-31-04(Final)'!G486</f>
        <v>292907.87</v>
      </c>
      <c r="C50" s="676">
        <f>+'[1]TB03-31-04(Final)'!G384</f>
        <v>3791762.3499999996</v>
      </c>
      <c r="D50" s="677"/>
      <c r="E50" s="678"/>
      <c r="F50" s="678">
        <f>+'[1]TB03-31-04(Final)'!G547</f>
        <v>139421.58999999997</v>
      </c>
      <c r="G50" s="678"/>
      <c r="J50" s="680"/>
      <c r="K50" s="681"/>
      <c r="L50" s="676"/>
      <c r="M50" s="676"/>
      <c r="O50" s="681"/>
    </row>
    <row r="51" spans="1:15" s="679" customFormat="1" ht="12.75">
      <c r="A51" s="675"/>
      <c r="B51" s="676" t="e">
        <f>+B49-B50</f>
        <v>#REF!</v>
      </c>
      <c r="C51" s="676">
        <f>+C49-C50</f>
        <v>-33630.479999999516</v>
      </c>
      <c r="D51" s="682"/>
      <c r="E51" s="678"/>
      <c r="F51" s="675" t="e">
        <f>+F49-F50</f>
        <v>#REF!</v>
      </c>
      <c r="G51" s="678"/>
      <c r="J51" s="680"/>
      <c r="K51" s="681"/>
      <c r="L51" s="676"/>
      <c r="M51" s="676"/>
      <c r="O51" s="681"/>
    </row>
    <row r="52" spans="1:7" ht="12.75">
      <c r="A52" s="308" t="s">
        <v>44</v>
      </c>
      <c r="B52" s="309"/>
      <c r="C52" s="309"/>
      <c r="D52" s="212"/>
      <c r="E52" s="178"/>
      <c r="F52" s="221"/>
      <c r="G52" s="178"/>
    </row>
    <row r="53" spans="1:7" ht="25.5">
      <c r="A53" s="64" t="s">
        <v>458</v>
      </c>
      <c r="B53" s="179"/>
      <c r="C53" s="179"/>
      <c r="D53" s="213"/>
      <c r="E53" s="207"/>
      <c r="F53" s="306">
        <v>495387.39</v>
      </c>
      <c r="G53" s="207"/>
    </row>
    <row r="55" spans="1:6" ht="12.75">
      <c r="A55" s="121" t="s">
        <v>193</v>
      </c>
      <c r="B55" s="126">
        <v>51200</v>
      </c>
      <c r="C55" s="127">
        <v>51100</v>
      </c>
      <c r="D55" s="223"/>
      <c r="E55" s="128"/>
      <c r="F55" s="128" t="s">
        <v>195</v>
      </c>
    </row>
    <row r="56" spans="2:3" ht="12.75">
      <c r="B56" s="190"/>
      <c r="C56" s="190"/>
    </row>
    <row r="60" ht="12.75">
      <c r="I60" s="8"/>
    </row>
    <row r="61" ht="12.75">
      <c r="I61" s="8"/>
    </row>
    <row r="62" ht="12.75">
      <c r="I62" s="8"/>
    </row>
    <row r="63" ht="12.75">
      <c r="I63" s="8"/>
    </row>
    <row r="64" ht="12.75">
      <c r="I64" s="8"/>
    </row>
    <row r="65" ht="12.75">
      <c r="I65" s="8"/>
    </row>
    <row r="66" ht="12.75">
      <c r="I66" s="8"/>
    </row>
    <row r="67" ht="12.75">
      <c r="I67" s="8"/>
    </row>
    <row r="68" ht="12.75">
      <c r="I68" s="8"/>
    </row>
    <row r="69" ht="12.75">
      <c r="I69" s="8"/>
    </row>
    <row r="70" ht="12.75">
      <c r="I70" s="8"/>
    </row>
    <row r="71" ht="12.75">
      <c r="I71" s="8"/>
    </row>
    <row r="72" ht="12.75">
      <c r="I72" s="8"/>
    </row>
    <row r="73" ht="12.75">
      <c r="I73" s="8"/>
    </row>
    <row r="74" ht="12.75">
      <c r="I74" s="8"/>
    </row>
    <row r="75" ht="12.75">
      <c r="I75" s="8"/>
    </row>
    <row r="78" spans="1:6" ht="12.75">
      <c r="A78" s="11"/>
      <c r="B78" s="11"/>
      <c r="C78" s="11"/>
      <c r="D78" s="224"/>
      <c r="E78" s="11"/>
      <c r="F78" s="11"/>
    </row>
    <row r="79" spans="1:6" ht="12.75">
      <c r="A79" s="11"/>
      <c r="B79" s="11"/>
      <c r="C79" s="11"/>
      <c r="D79" s="224"/>
      <c r="E79" s="11"/>
      <c r="F79" s="73"/>
    </row>
    <row r="80" spans="1:6" ht="12.75">
      <c r="A80" s="69"/>
      <c r="B80" s="11"/>
      <c r="C80" s="11"/>
      <c r="D80" s="225"/>
      <c r="E80" s="69"/>
      <c r="F80" s="149"/>
    </row>
    <row r="81" spans="1:7" ht="12.75">
      <c r="A81" s="11"/>
      <c r="B81" s="11"/>
      <c r="C81" s="11"/>
      <c r="D81" s="224"/>
      <c r="E81" s="11"/>
      <c r="F81" s="73"/>
      <c r="G81" s="55"/>
    </row>
    <row r="82" spans="1:7" ht="12.75">
      <c r="A82" s="11"/>
      <c r="B82" s="11"/>
      <c r="C82" s="11"/>
      <c r="D82" s="224"/>
      <c r="E82" s="11"/>
      <c r="F82" s="11"/>
      <c r="G82" s="55"/>
    </row>
    <row r="83" spans="1:7" ht="12.75">
      <c r="A83" s="69"/>
      <c r="B83" s="69"/>
      <c r="C83" s="69"/>
      <c r="D83" s="224"/>
      <c r="E83" s="11"/>
      <c r="F83" s="11"/>
      <c r="G83" s="55"/>
    </row>
    <row r="84" spans="1:7" ht="12.75">
      <c r="A84" s="69"/>
      <c r="B84" s="69"/>
      <c r="C84" s="69"/>
      <c r="D84" s="224"/>
      <c r="E84" s="11"/>
      <c r="F84" s="11"/>
      <c r="G84" s="55"/>
    </row>
    <row r="85" spans="1:7" ht="12.75">
      <c r="A85" s="11"/>
      <c r="B85" s="11"/>
      <c r="C85" s="11"/>
      <c r="D85" s="224"/>
      <c r="E85" s="11"/>
      <c r="F85" s="11"/>
      <c r="G85" s="55"/>
    </row>
    <row r="86" spans="1:7" ht="12.75">
      <c r="A86" s="11"/>
      <c r="B86" s="11"/>
      <c r="C86" s="11"/>
      <c r="D86" s="224"/>
      <c r="E86" s="11"/>
      <c r="F86" s="11"/>
      <c r="G86" s="55"/>
    </row>
    <row r="87" spans="1:7" ht="12.75">
      <c r="A87" s="11"/>
      <c r="B87" s="11"/>
      <c r="C87" s="11"/>
      <c r="D87" s="224"/>
      <c r="E87" s="11"/>
      <c r="F87" s="11"/>
      <c r="G87" s="55"/>
    </row>
    <row r="88" spans="1:7" ht="12.75">
      <c r="A88" s="69"/>
      <c r="B88" s="69"/>
      <c r="C88" s="69"/>
      <c r="D88" s="225"/>
      <c r="E88" s="69"/>
      <c r="F88" s="11"/>
      <c r="G88" s="55"/>
    </row>
    <row r="89" spans="1:7" ht="12.75">
      <c r="A89" s="69"/>
      <c r="B89" s="69"/>
      <c r="C89" s="69"/>
      <c r="D89" s="225"/>
      <c r="E89" s="69"/>
      <c r="F89" s="11"/>
      <c r="G89" s="55"/>
    </row>
    <row r="90" spans="1:7" ht="12.75">
      <c r="A90" s="69"/>
      <c r="B90" s="69"/>
      <c r="C90" s="69"/>
      <c r="D90" s="225"/>
      <c r="E90" s="69"/>
      <c r="F90" s="11"/>
      <c r="G90" s="55"/>
    </row>
    <row r="91" spans="1:7" ht="12.75">
      <c r="A91" s="69"/>
      <c r="B91" s="69"/>
      <c r="C91" s="69"/>
      <c r="D91" s="225"/>
      <c r="E91" s="69"/>
      <c r="F91" s="11"/>
      <c r="G91" s="55"/>
    </row>
    <row r="92" spans="1:7" ht="12.75">
      <c r="A92" s="69"/>
      <c r="B92" s="69"/>
      <c r="C92" s="69"/>
      <c r="D92" s="225"/>
      <c r="E92" s="69"/>
      <c r="F92" s="11"/>
      <c r="G92" s="55"/>
    </row>
    <row r="93" spans="1:7" ht="12.75">
      <c r="A93" s="69"/>
      <c r="B93" s="69"/>
      <c r="C93" s="69"/>
      <c r="D93" s="225"/>
      <c r="E93" s="69"/>
      <c r="F93" s="11"/>
      <c r="G93" s="55"/>
    </row>
    <row r="94" spans="1:7" ht="12.75">
      <c r="A94" s="69"/>
      <c r="B94" s="69"/>
      <c r="C94" s="69"/>
      <c r="D94" s="225"/>
      <c r="E94" s="69"/>
      <c r="F94" s="11"/>
      <c r="G94" s="55"/>
    </row>
    <row r="95" spans="1:6" ht="12.75">
      <c r="A95" s="69"/>
      <c r="B95" s="69"/>
      <c r="C95" s="69"/>
      <c r="D95" s="225"/>
      <c r="E95" s="69"/>
      <c r="F95" s="11"/>
    </row>
    <row r="96" spans="1:6" ht="12.75">
      <c r="A96" s="11"/>
      <c r="B96" s="11"/>
      <c r="C96" s="11"/>
      <c r="D96" s="224"/>
      <c r="E96" s="11"/>
      <c r="F96" s="11"/>
    </row>
    <row r="97" spans="1:6" ht="12.75">
      <c r="A97" s="11"/>
      <c r="B97" s="11"/>
      <c r="C97" s="11"/>
      <c r="D97" s="224"/>
      <c r="E97" s="11"/>
      <c r="F97" s="11"/>
    </row>
    <row r="98" spans="1:6" ht="12.75">
      <c r="A98" s="11"/>
      <c r="B98" s="11"/>
      <c r="C98" s="11"/>
      <c r="D98" s="224"/>
      <c r="E98" s="11"/>
      <c r="F98" s="11"/>
    </row>
    <row r="99" spans="1:6" ht="12.75">
      <c r="A99" s="11"/>
      <c r="B99" s="11"/>
      <c r="C99" s="11"/>
      <c r="D99" s="224"/>
      <c r="E99" s="11"/>
      <c r="F99" s="11"/>
    </row>
    <row r="100" spans="1:6" ht="12.75">
      <c r="A100" s="11"/>
      <c r="B100" s="11"/>
      <c r="C100" s="11"/>
      <c r="D100" s="224"/>
      <c r="E100" s="11"/>
      <c r="F100" s="11"/>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3" customWidth="1"/>
    <col min="2" max="2" width="19.7109375" style="3" customWidth="1"/>
    <col min="3" max="3" width="2.7109375" style="3" customWidth="1"/>
    <col min="4" max="4" width="18.421875" style="3" customWidth="1"/>
    <col min="5" max="5" width="3.140625" style="3" customWidth="1"/>
    <col min="6" max="6" width="10.421875" style="3" customWidth="1"/>
    <col min="7" max="7" width="3.7109375" style="3" customWidth="1"/>
    <col min="8" max="8" width="16.00390625" style="3" customWidth="1"/>
    <col min="9" max="9" width="2.28125" style="3" customWidth="1"/>
    <col min="10" max="10" width="15.7109375" style="3" customWidth="1"/>
    <col min="11" max="11" width="3.00390625" style="3" customWidth="1"/>
    <col min="12" max="16384" width="9.140625" style="3" customWidth="1"/>
  </cols>
  <sheetData>
    <row r="2" spans="1:10" ht="19.5" customHeight="1">
      <c r="A2" s="976" t="s">
        <v>82</v>
      </c>
      <c r="B2" s="976"/>
      <c r="C2" s="976"/>
      <c r="D2" s="976"/>
      <c r="E2" s="976"/>
      <c r="F2" s="976"/>
      <c r="G2" s="976"/>
      <c r="H2" s="976"/>
      <c r="I2" s="976"/>
      <c r="J2" s="976"/>
    </row>
    <row r="3" spans="1:7" ht="19.5" customHeight="1">
      <c r="A3" s="246"/>
      <c r="B3" s="247"/>
      <c r="C3" s="247"/>
      <c r="E3" s="247"/>
      <c r="F3" s="247"/>
      <c r="G3" s="247"/>
    </row>
    <row r="4" spans="1:10" ht="19.5" customHeight="1">
      <c r="A4" s="977" t="s">
        <v>83</v>
      </c>
      <c r="B4" s="977"/>
      <c r="C4" s="977"/>
      <c r="D4" s="977"/>
      <c r="E4" s="977"/>
      <c r="F4" s="977"/>
      <c r="G4" s="977"/>
      <c r="H4" s="977"/>
      <c r="I4" s="977"/>
      <c r="J4" s="977"/>
    </row>
    <row r="5" ht="19.5" customHeight="1">
      <c r="B5" s="10"/>
    </row>
    <row r="6" spans="2:10" ht="19.5" customHeight="1">
      <c r="B6" s="978" t="s">
        <v>436</v>
      </c>
      <c r="C6" s="978"/>
      <c r="D6" s="978"/>
      <c r="E6" s="7"/>
      <c r="F6" s="7"/>
      <c r="G6" s="7"/>
      <c r="H6" s="144" t="s">
        <v>437</v>
      </c>
      <c r="I6" s="144"/>
      <c r="J6" s="143"/>
    </row>
    <row r="7" spans="2:10" ht="19.5" customHeight="1" thickBot="1">
      <c r="B7" s="979" t="s">
        <v>84</v>
      </c>
      <c r="C7" s="979"/>
      <c r="D7" s="979"/>
      <c r="E7" s="251"/>
      <c r="F7" s="251"/>
      <c r="G7" s="251"/>
      <c r="H7" s="979" t="s">
        <v>84</v>
      </c>
      <c r="I7" s="979"/>
      <c r="J7" s="979"/>
    </row>
    <row r="8" spans="2:10" ht="19.5" customHeight="1" thickBot="1">
      <c r="B8" s="248">
        <v>2002</v>
      </c>
      <c r="C8" s="142"/>
      <c r="D8" s="248">
        <v>2001</v>
      </c>
      <c r="E8" s="142"/>
      <c r="F8" s="377" t="s">
        <v>226</v>
      </c>
      <c r="G8" s="142"/>
      <c r="H8" s="248">
        <v>2002</v>
      </c>
      <c r="I8" s="142"/>
      <c r="J8" s="248">
        <v>2001</v>
      </c>
    </row>
    <row r="9" spans="1:9" ht="19.5" customHeight="1">
      <c r="A9" s="15"/>
      <c r="B9" s="114"/>
      <c r="C9" s="114"/>
      <c r="D9" s="15"/>
      <c r="E9" s="133"/>
      <c r="F9" s="133"/>
      <c r="G9" s="133"/>
      <c r="I9" s="46"/>
    </row>
    <row r="10" spans="1:10" ht="19.5" customHeight="1">
      <c r="A10" s="97" t="s">
        <v>85</v>
      </c>
      <c r="B10" s="134">
        <f>-'[1]TB03-31-04(Final)'!E317</f>
        <v>5676242</v>
      </c>
      <c r="C10" s="134"/>
      <c r="D10" s="134">
        <f>+'[4]Highlights (pg 1)'!$B$10</f>
        <v>4280821</v>
      </c>
      <c r="E10" s="134"/>
      <c r="F10" s="379">
        <f>(+B10-D10)/D10</f>
        <v>0.3259704154880571</v>
      </c>
      <c r="G10" s="134"/>
      <c r="H10" s="134">
        <f>-'[1]TB03-31-04(Final)'!G317</f>
        <v>5676242</v>
      </c>
      <c r="I10" s="134"/>
      <c r="J10" s="134">
        <f>+'[4]Highlights (pg 1)'!$F$10</f>
        <v>16190670</v>
      </c>
    </row>
    <row r="11" spans="1:10" ht="19.5" customHeight="1">
      <c r="A11" s="97"/>
      <c r="B11" s="114"/>
      <c r="C11" s="114"/>
      <c r="D11" s="114"/>
      <c r="E11" s="114"/>
      <c r="F11" s="378"/>
      <c r="G11" s="114"/>
      <c r="H11" s="114"/>
      <c r="I11" s="15"/>
      <c r="J11" s="114"/>
    </row>
    <row r="12" spans="1:10" ht="19.5" customHeight="1">
      <c r="A12" s="97" t="s">
        <v>86</v>
      </c>
      <c r="B12" s="114">
        <f>-'[1]TB03-31-04(Final)'!E338</f>
        <v>5376116</v>
      </c>
      <c r="C12" s="114"/>
      <c r="D12" s="114">
        <f>+'[4]Highlights (pg 1)'!$B$12</f>
        <v>4133399</v>
      </c>
      <c r="E12" s="114"/>
      <c r="F12" s="379">
        <f>(+B12-D12)/D12</f>
        <v>0.30065256221332615</v>
      </c>
      <c r="G12" s="114"/>
      <c r="H12" s="114">
        <f>-'[1]TB03-31-04(Final)'!G338</f>
        <v>5376116</v>
      </c>
      <c r="I12" s="114"/>
      <c r="J12" s="114">
        <f>+'[4]Highlights (pg 1)'!$F$12</f>
        <v>16708714</v>
      </c>
    </row>
    <row r="13" spans="1:10" ht="19.5" customHeight="1">
      <c r="A13" s="97"/>
      <c r="B13" s="114"/>
      <c r="C13" s="114"/>
      <c r="D13" s="114"/>
      <c r="E13" s="114"/>
      <c r="F13" s="378"/>
      <c r="G13" s="114"/>
      <c r="H13" s="114"/>
      <c r="I13" s="15"/>
      <c r="J13" s="114"/>
    </row>
    <row r="14" spans="1:10" ht="19.5" customHeight="1">
      <c r="A14" s="97" t="s">
        <v>87</v>
      </c>
      <c r="B14" s="114">
        <f>+'[1]TB03-31-04(Final)'!E462</f>
        <v>4105799.4900000007</v>
      </c>
      <c r="C14" s="114"/>
      <c r="D14" s="114">
        <f>+'[4]Highlights (pg 1)'!$B$14</f>
        <v>2779701.7999999993</v>
      </c>
      <c r="E14" s="114"/>
      <c r="F14" s="379">
        <f>(+B14-D14)/D14</f>
        <v>0.477064730468571</v>
      </c>
      <c r="G14" s="114"/>
      <c r="H14" s="114">
        <f>+'[1]TB03-31-04(Final)'!G462</f>
        <v>4105799.4900000007</v>
      </c>
      <c r="I14" s="114"/>
      <c r="J14" s="114">
        <f>+'[4]Highlights (pg 1)'!$F$14</f>
        <v>14011900.985</v>
      </c>
    </row>
    <row r="15" spans="1:10" ht="19.5" customHeight="1">
      <c r="A15" s="97"/>
      <c r="B15" s="114"/>
      <c r="C15" s="114"/>
      <c r="D15" s="114"/>
      <c r="E15" s="114"/>
      <c r="F15" s="378"/>
      <c r="G15" s="114"/>
      <c r="H15" s="114"/>
      <c r="I15" s="15"/>
      <c r="J15" s="114"/>
    </row>
    <row r="16" spans="1:10" ht="19.5" customHeight="1">
      <c r="A16" s="97" t="s">
        <v>88</v>
      </c>
      <c r="B16" s="114">
        <f>+'[1]TB03-31-04(Final)'!E578</f>
        <v>474152.5300000001</v>
      </c>
      <c r="C16" s="114"/>
      <c r="D16" s="114">
        <f>+'[4]Highlights (pg 1)'!$B$16</f>
        <v>359851.97759499995</v>
      </c>
      <c r="E16" s="114"/>
      <c r="F16" s="379">
        <f>(+B16-D16)/D16</f>
        <v>0.3176321363270127</v>
      </c>
      <c r="G16" s="114"/>
      <c r="H16" s="114">
        <f>+'[1]TB03-31-04(Final)'!G578</f>
        <v>474152.5300000001</v>
      </c>
      <c r="I16" s="114"/>
      <c r="J16" s="114">
        <f>+'[4]Highlights (pg 1)'!$F$16</f>
        <v>1458256.25543</v>
      </c>
    </row>
    <row r="17" spans="1:10" ht="19.5" customHeight="1">
      <c r="A17" s="97"/>
      <c r="B17" s="114"/>
      <c r="C17" s="114"/>
      <c r="D17" s="114"/>
      <c r="E17" s="114"/>
      <c r="F17" s="378"/>
      <c r="G17" s="114"/>
      <c r="H17" s="114"/>
      <c r="I17" s="15"/>
      <c r="J17" s="114"/>
    </row>
    <row r="18" spans="1:10" ht="19.5" customHeight="1">
      <c r="A18" s="97" t="s">
        <v>89</v>
      </c>
      <c r="B18" s="114">
        <f>+'[1]TB03-31-04(Final)'!E648+'[1]TB03-31-04(Final)'!E1005</f>
        <v>1100075.5799999996</v>
      </c>
      <c r="C18" s="114"/>
      <c r="D18" s="114">
        <f>+'[4]Highlights (pg 1)'!$B$18</f>
        <v>1236377.2000000002</v>
      </c>
      <c r="E18" s="114"/>
      <c r="F18" s="379">
        <f>(+B18-D18)/D18</f>
        <v>-0.11024274792514821</v>
      </c>
      <c r="G18" s="114"/>
      <c r="H18" s="114">
        <f>+'[1]TB03-31-04(Final)'!G648+'[1]TB03-31-04(Final)'!G1005</f>
        <v>1628632.9299999997</v>
      </c>
      <c r="I18" s="114"/>
      <c r="J18" s="114">
        <f>+'[4]Highlights (pg 1)'!$F$18</f>
        <v>5361056.619999999</v>
      </c>
    </row>
    <row r="19" spans="1:10" ht="19.5" customHeight="1">
      <c r="A19" s="97"/>
      <c r="B19" s="114"/>
      <c r="C19" s="114"/>
      <c r="D19" s="114"/>
      <c r="E19" s="114"/>
      <c r="F19" s="378"/>
      <c r="G19" s="114"/>
      <c r="H19" s="114"/>
      <c r="I19" s="15"/>
      <c r="J19" s="114"/>
    </row>
    <row r="20" spans="1:10" ht="19.5" customHeight="1">
      <c r="A20" s="97" t="s">
        <v>265</v>
      </c>
      <c r="B20" s="114">
        <f>B12-B14-B16-B18</f>
        <v>-303911.6000000003</v>
      </c>
      <c r="C20" s="114"/>
      <c r="D20" s="114">
        <f>D12-D14-D16-D18</f>
        <v>-242531.97759499948</v>
      </c>
      <c r="E20" s="114"/>
      <c r="F20" s="379">
        <f>(+B20-D20)/D20</f>
        <v>0.2530784724293048</v>
      </c>
      <c r="G20" s="114"/>
      <c r="H20" s="114">
        <f>H12-H14-H16-H18</f>
        <v>-832468.9500000004</v>
      </c>
      <c r="I20" s="15"/>
      <c r="J20" s="114">
        <f>J12-J14-J16-J18</f>
        <v>-4122499.8604299985</v>
      </c>
    </row>
    <row r="21" spans="1:10" ht="19.5" customHeight="1">
      <c r="A21" s="97"/>
      <c r="B21" s="114"/>
      <c r="C21" s="114"/>
      <c r="D21" s="114"/>
      <c r="E21" s="114"/>
      <c r="F21" s="378"/>
      <c r="G21" s="114"/>
      <c r="H21" s="114"/>
      <c r="I21" s="15"/>
      <c r="J21" s="114"/>
    </row>
    <row r="22" spans="1:10" ht="19.5" customHeight="1">
      <c r="A22" s="97" t="s">
        <v>90</v>
      </c>
      <c r="B22" s="114">
        <f>-'[1]TB03-31-04(Final)'!E357</f>
        <v>29500.729999999996</v>
      </c>
      <c r="C22" s="114"/>
      <c r="D22" s="134">
        <f>+'[4]Highlights (pg 1)'!$B$22</f>
        <v>51020.619999999995</v>
      </c>
      <c r="E22" s="114"/>
      <c r="F22" s="379">
        <f>(+B22-D22)/D22</f>
        <v>-0.421788092735839</v>
      </c>
      <c r="G22" s="114"/>
      <c r="H22" s="114">
        <f>-'[1]TB03-31-04(Final)'!G357</f>
        <v>29500.729999999996</v>
      </c>
      <c r="I22" s="114"/>
      <c r="J22" s="114">
        <f>+'[4]Highlights (pg 1)'!$F$22</f>
        <v>406576.29999999993</v>
      </c>
    </row>
    <row r="23" spans="1:10" ht="19.5" customHeight="1">
      <c r="A23" s="97"/>
      <c r="B23" s="114"/>
      <c r="C23" s="114"/>
      <c r="D23" s="114"/>
      <c r="E23" s="114"/>
      <c r="F23" s="378"/>
      <c r="G23" s="114"/>
      <c r="H23" s="114"/>
      <c r="I23" s="15"/>
      <c r="J23" s="114"/>
    </row>
    <row r="24" spans="1:10" ht="19.5" customHeight="1">
      <c r="A24" s="97" t="s">
        <v>147</v>
      </c>
      <c r="B24" s="134">
        <f>B20+B22</f>
        <v>-274410.87000000034</v>
      </c>
      <c r="C24" s="134"/>
      <c r="D24" s="134">
        <f>D20+D22-1</f>
        <v>-191512.35759499948</v>
      </c>
      <c r="E24" s="134"/>
      <c r="F24" s="378">
        <f>(+B24-D24)/D24</f>
        <v>0.4328624713623461</v>
      </c>
      <c r="G24" s="134"/>
      <c r="H24" s="134">
        <f>H20+H22</f>
        <v>-802968.2200000004</v>
      </c>
      <c r="I24" s="15"/>
      <c r="J24" s="134">
        <f>J20+J22</f>
        <v>-3715923.5604299987</v>
      </c>
    </row>
    <row r="25" spans="1:10" ht="19.5" customHeight="1">
      <c r="A25" s="97"/>
      <c r="B25" s="114"/>
      <c r="C25" s="114"/>
      <c r="D25" s="114"/>
      <c r="E25" s="114"/>
      <c r="F25" s="114"/>
      <c r="G25" s="114"/>
      <c r="H25" s="114"/>
      <c r="I25" s="15"/>
      <c r="J25" s="15"/>
    </row>
    <row r="26" spans="1:10" ht="19.5" customHeight="1">
      <c r="A26" s="97"/>
      <c r="B26" s="114"/>
      <c r="C26" s="114"/>
      <c r="D26" s="114"/>
      <c r="E26" s="114"/>
      <c r="F26" s="114"/>
      <c r="G26" s="114"/>
      <c r="H26" s="114"/>
      <c r="I26" s="15"/>
      <c r="J26" s="15"/>
    </row>
    <row r="27" spans="1:10" ht="19.5" customHeight="1">
      <c r="A27" s="97"/>
      <c r="B27" s="114"/>
      <c r="C27" s="114"/>
      <c r="D27" s="114"/>
      <c r="E27" s="114"/>
      <c r="F27" s="114"/>
      <c r="G27" s="114"/>
      <c r="H27" s="114"/>
      <c r="I27" s="15"/>
      <c r="J27" s="15"/>
    </row>
    <row r="28" spans="1:10" ht="19.5" customHeight="1">
      <c r="A28" s="97"/>
      <c r="B28" s="114"/>
      <c r="C28" s="114"/>
      <c r="D28" s="114"/>
      <c r="E28" s="114"/>
      <c r="F28" s="114"/>
      <c r="G28" s="114"/>
      <c r="H28" s="114"/>
      <c r="I28" s="15"/>
      <c r="J28" s="15"/>
    </row>
    <row r="29" spans="1:10" ht="19.5" customHeight="1">
      <c r="A29" s="97" t="s">
        <v>91</v>
      </c>
      <c r="B29" s="135">
        <f>(B14+B16)/B12</f>
        <v>0.8519072170317754</v>
      </c>
      <c r="C29" s="137"/>
      <c r="D29" s="135">
        <f>(D14+D16)/D12</f>
        <v>0.7595573951595284</v>
      </c>
      <c r="E29" s="137"/>
      <c r="F29" s="137"/>
      <c r="G29" s="137"/>
      <c r="H29" s="135">
        <f>(H14+H16)/H12</f>
        <v>0.8519072170317754</v>
      </c>
      <c r="I29" s="135"/>
      <c r="J29" s="135">
        <f>(J14+J16)/J12</f>
        <v>0.9258736034640368</v>
      </c>
    </row>
    <row r="30" spans="1:10" ht="19.5" customHeight="1">
      <c r="A30" s="97"/>
      <c r="B30" s="136"/>
      <c r="C30" s="137"/>
      <c r="D30" s="136"/>
      <c r="E30" s="137"/>
      <c r="F30" s="137"/>
      <c r="G30" s="137"/>
      <c r="H30" s="136"/>
      <c r="I30" s="136"/>
      <c r="J30" s="136"/>
    </row>
    <row r="31" spans="1:10" ht="19.5" customHeight="1">
      <c r="A31" s="97" t="s">
        <v>92</v>
      </c>
      <c r="B31" s="135">
        <f>B18/B10</f>
        <v>0.19380350238767122</v>
      </c>
      <c r="C31" s="137"/>
      <c r="D31" s="135">
        <f>D18/D10</f>
        <v>0.2888177758425312</v>
      </c>
      <c r="E31" s="137"/>
      <c r="F31" s="137"/>
      <c r="G31" s="137"/>
      <c r="H31" s="135">
        <f>H18/H10</f>
        <v>0.2869209822273257</v>
      </c>
      <c r="I31" s="135"/>
      <c r="J31" s="135">
        <f>J18/J10</f>
        <v>0.3311201216503084</v>
      </c>
    </row>
    <row r="32" spans="1:10" ht="19.5" customHeight="1">
      <c r="A32" s="97"/>
      <c r="B32" s="136"/>
      <c r="C32" s="137"/>
      <c r="D32" s="136"/>
      <c r="E32" s="137"/>
      <c r="F32" s="137"/>
      <c r="G32" s="137"/>
      <c r="H32" s="136"/>
      <c r="I32" s="136"/>
      <c r="J32" s="136"/>
    </row>
    <row r="33" spans="1:10" ht="19.5" customHeight="1">
      <c r="A33" s="97" t="s">
        <v>93</v>
      </c>
      <c r="B33" s="249">
        <f>SUM(B29:B32)</f>
        <v>1.0457107194194466</v>
      </c>
      <c r="C33" s="249"/>
      <c r="D33" s="249">
        <f>SUM(D29:D31)</f>
        <v>1.0483751710020597</v>
      </c>
      <c r="E33" s="249"/>
      <c r="F33" s="249"/>
      <c r="G33" s="249"/>
      <c r="H33" s="249">
        <f>SUM(H29:H32)</f>
        <v>1.1388281992591012</v>
      </c>
      <c r="I33" s="249"/>
      <c r="J33" s="249">
        <f>SUM(J29:J31)</f>
        <v>1.2569937251143453</v>
      </c>
    </row>
    <row r="34" spans="1:4" ht="19.5" customHeight="1">
      <c r="A34" s="15"/>
      <c r="B34" s="250"/>
      <c r="C34" s="25"/>
      <c r="D34" s="15"/>
    </row>
    <row r="35" spans="1:4" ht="19.5" customHeight="1">
      <c r="A35" s="15"/>
      <c r="B35" s="250"/>
      <c r="C35" s="25"/>
      <c r="D35" s="15"/>
    </row>
    <row r="36" spans="1:4" ht="19.5" customHeight="1">
      <c r="A36" s="15"/>
      <c r="B36" s="250"/>
      <c r="C36" s="24"/>
      <c r="D36" s="15"/>
    </row>
    <row r="37" spans="1:4" ht="19.5" customHeight="1">
      <c r="A37" s="15"/>
      <c r="B37" s="250"/>
      <c r="C37" s="24"/>
      <c r="D37" s="15"/>
    </row>
    <row r="38" spans="1:4" ht="19.5" customHeight="1">
      <c r="A38" s="15"/>
      <c r="B38" s="250"/>
      <c r="C38" s="24"/>
      <c r="D38" s="15"/>
    </row>
    <row r="39" ht="19.5" customHeight="1">
      <c r="C39" s="93"/>
    </row>
    <row r="40" ht="19.5" customHeight="1">
      <c r="A40" s="138"/>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5" customWidth="1"/>
    <col min="2" max="2" width="54.7109375" style="15" customWidth="1"/>
    <col min="3" max="6" width="17.00390625" style="541" customWidth="1"/>
    <col min="7" max="7" width="3.7109375" style="15" customWidth="1"/>
    <col min="8" max="8" width="20.8515625" style="17" bestFit="1" customWidth="1"/>
    <col min="9" max="9" width="19.421875" style="15" customWidth="1"/>
    <col min="10" max="16384" width="9.140625" style="15" customWidth="1"/>
  </cols>
  <sheetData>
    <row r="1" spans="2:9" s="12" customFormat="1" ht="21.75">
      <c r="B1" s="919" t="s">
        <v>260</v>
      </c>
      <c r="C1" s="920"/>
      <c r="D1" s="920"/>
      <c r="E1" s="920"/>
      <c r="F1" s="920"/>
      <c r="G1" s="920"/>
      <c r="H1" s="920"/>
      <c r="I1" s="921"/>
    </row>
    <row r="2" spans="2:9" s="12" customFormat="1" ht="19.5">
      <c r="B2" s="928"/>
      <c r="C2" s="929"/>
      <c r="D2" s="929"/>
      <c r="E2" s="929"/>
      <c r="F2" s="929"/>
      <c r="G2" s="707"/>
      <c r="H2" s="708"/>
      <c r="I2" s="709"/>
    </row>
    <row r="3" spans="2:9" s="13" customFormat="1" ht="16.5">
      <c r="B3" s="922" t="s">
        <v>213</v>
      </c>
      <c r="C3" s="923"/>
      <c r="D3" s="923"/>
      <c r="E3" s="923"/>
      <c r="F3" s="923"/>
      <c r="G3" s="923"/>
      <c r="H3" s="923"/>
      <c r="I3" s="924"/>
    </row>
    <row r="4" spans="2:9" s="13" customFormat="1" ht="16.5">
      <c r="B4" s="925" t="s">
        <v>153</v>
      </c>
      <c r="C4" s="926"/>
      <c r="D4" s="926"/>
      <c r="E4" s="926"/>
      <c r="F4" s="926"/>
      <c r="G4" s="926"/>
      <c r="H4" s="926"/>
      <c r="I4" s="927"/>
    </row>
    <row r="5" spans="2:9" ht="15">
      <c r="B5" s="710"/>
      <c r="C5" s="735"/>
      <c r="D5" s="735"/>
      <c r="E5" s="917" t="s">
        <v>136</v>
      </c>
      <c r="F5" s="917"/>
      <c r="G5" s="734"/>
      <c r="H5" s="917" t="s">
        <v>137</v>
      </c>
      <c r="I5" s="918"/>
    </row>
    <row r="6" spans="2:9" ht="43.5">
      <c r="B6" s="710"/>
      <c r="C6" s="711" t="s">
        <v>214</v>
      </c>
      <c r="D6" s="711" t="s">
        <v>215</v>
      </c>
      <c r="E6" s="711" t="s">
        <v>216</v>
      </c>
      <c r="F6" s="711" t="s">
        <v>217</v>
      </c>
      <c r="G6" s="712"/>
      <c r="H6" s="711" t="s">
        <v>216</v>
      </c>
      <c r="I6" s="733" t="s">
        <v>217</v>
      </c>
    </row>
    <row r="7" spans="1:9" ht="15">
      <c r="A7" s="15" t="s">
        <v>434</v>
      </c>
      <c r="B7" s="713" t="s">
        <v>262</v>
      </c>
      <c r="C7" s="536"/>
      <c r="D7" s="536"/>
      <c r="E7" s="536"/>
      <c r="F7" s="536"/>
      <c r="G7" s="712"/>
      <c r="H7" s="698"/>
      <c r="I7" s="698"/>
    </row>
    <row r="8" spans="1:9" ht="15">
      <c r="A8" s="15">
        <v>5</v>
      </c>
      <c r="B8" s="714" t="s">
        <v>219</v>
      </c>
      <c r="C8" s="537"/>
      <c r="D8" s="537"/>
      <c r="E8" s="537"/>
      <c r="F8" s="537"/>
      <c r="G8" s="715"/>
      <c r="H8" s="699"/>
      <c r="I8" s="699"/>
    </row>
    <row r="9" spans="2:9" ht="15">
      <c r="B9" s="714" t="s">
        <v>220</v>
      </c>
      <c r="C9" s="537">
        <f>+'[1]TB03-31-04(Final)'!G16+'[1]TB03-31-04(Final)'!G23</f>
        <v>9850900.019999998</v>
      </c>
      <c r="D9" s="544">
        <v>0</v>
      </c>
      <c r="E9" s="544">
        <v>0</v>
      </c>
      <c r="F9" s="537">
        <f>SUM(C9:E9)</f>
        <v>9850900.019999998</v>
      </c>
      <c r="G9" s="715"/>
      <c r="H9" s="699"/>
      <c r="I9" s="700">
        <f>+'[6]Balance Sheet (pg 1)'!$E$9</f>
        <v>9779587.32</v>
      </c>
    </row>
    <row r="10" spans="1:9" ht="15">
      <c r="A10" s="15">
        <v>11</v>
      </c>
      <c r="B10" s="714" t="s">
        <v>144</v>
      </c>
      <c r="C10" s="545">
        <v>0</v>
      </c>
      <c r="D10" s="545">
        <f>+'[1]TB03-31-04(Final)'!G25</f>
        <v>10038.47</v>
      </c>
      <c r="E10" s="545">
        <v>0</v>
      </c>
      <c r="F10" s="545">
        <f>SUM(C10:E10)</f>
        <v>10038.47</v>
      </c>
      <c r="G10" s="715"/>
      <c r="H10" s="699"/>
      <c r="I10" s="701">
        <f>+'[6]Balance Sheet (pg 1)'!$E$10</f>
        <v>9035.63</v>
      </c>
    </row>
    <row r="11" spans="1:9" ht="14.25" customHeight="1">
      <c r="A11" s="15">
        <v>18</v>
      </c>
      <c r="B11" s="714" t="s">
        <v>264</v>
      </c>
      <c r="C11" s="545">
        <f>+'[1]TB03-31-04(Final)'!E1029</f>
        <v>172930.65000000002</v>
      </c>
      <c r="D11" s="545">
        <v>0</v>
      </c>
      <c r="E11" s="545">
        <f>C11</f>
        <v>172930.65000000002</v>
      </c>
      <c r="F11" s="545">
        <f>+C11-E11</f>
        <v>0</v>
      </c>
      <c r="G11" s="715"/>
      <c r="H11" s="701">
        <f>+'[6]Balance Sheet (pg 1)'!$D$11</f>
        <v>240717.92</v>
      </c>
      <c r="I11" s="702">
        <f>+'[6]Balance Sheet (pg 1)'!$E$11</f>
        <v>0</v>
      </c>
    </row>
    <row r="12" spans="1:9" ht="14.25" customHeight="1">
      <c r="A12" s="15">
        <v>17</v>
      </c>
      <c r="B12" s="714" t="s">
        <v>266</v>
      </c>
      <c r="C12" s="545">
        <f>+'[1]TB03-31-04(Final)'!G1033</f>
        <v>52339.42</v>
      </c>
      <c r="D12" s="545">
        <v>0</v>
      </c>
      <c r="E12" s="545">
        <v>0</v>
      </c>
      <c r="F12" s="545">
        <f>+C12-E12</f>
        <v>52339.42</v>
      </c>
      <c r="G12" s="715"/>
      <c r="H12" s="699"/>
      <c r="I12" s="702">
        <f>+'[6]Balance Sheet (pg 1)'!$E$12</f>
        <v>20473.260000000002</v>
      </c>
    </row>
    <row r="13" spans="1:9" ht="15.75" customHeight="1">
      <c r="A13" s="15">
        <v>18</v>
      </c>
      <c r="B13" s="714" t="s">
        <v>267</v>
      </c>
      <c r="C13" s="545">
        <f>+'[1]TB03-31-04(Final)'!E1038</f>
        <v>46955.560000000005</v>
      </c>
      <c r="D13" s="545">
        <v>0</v>
      </c>
      <c r="E13" s="545">
        <f>C13</f>
        <v>46955.560000000005</v>
      </c>
      <c r="F13" s="545">
        <f>+C13-E13</f>
        <v>0</v>
      </c>
      <c r="G13" s="715"/>
      <c r="H13" s="701">
        <f>+'[6]Balance Sheet (pg 1)'!$D$13</f>
        <v>58331.310000000005</v>
      </c>
      <c r="I13" s="702">
        <f>+'[6]Balance Sheet (pg 1)'!$E$13</f>
        <v>0</v>
      </c>
    </row>
    <row r="14" spans="1:9" ht="15">
      <c r="A14" s="15">
        <v>23</v>
      </c>
      <c r="B14" s="716" t="s">
        <v>155</v>
      </c>
      <c r="C14" s="545">
        <v>0</v>
      </c>
      <c r="D14" s="545">
        <v>0</v>
      </c>
      <c r="E14" s="545">
        <v>0</v>
      </c>
      <c r="F14" s="545">
        <f>+C14-E14</f>
        <v>0</v>
      </c>
      <c r="G14" s="715"/>
      <c r="H14" s="705">
        <f>+'[6]Balance Sheet (pg 1)'!$D$16</f>
        <v>335155</v>
      </c>
      <c r="I14" s="702">
        <f>+'[6]Balance Sheet (pg 1)'!$E$16</f>
        <v>0</v>
      </c>
    </row>
    <row r="15" spans="1:9" ht="15">
      <c r="A15" s="15">
        <v>23</v>
      </c>
      <c r="B15" s="717" t="s">
        <v>156</v>
      </c>
      <c r="C15" s="706">
        <v>0</v>
      </c>
      <c r="D15" s="706">
        <v>0</v>
      </c>
      <c r="E15" s="706">
        <f>C15</f>
        <v>0</v>
      </c>
      <c r="F15" s="706">
        <f>+C15-E15</f>
        <v>0</v>
      </c>
      <c r="G15" s="718"/>
      <c r="H15" s="705">
        <v>42501</v>
      </c>
      <c r="I15" s="704">
        <f>+'[6]Balance Sheet (pg 1)'!$E$14</f>
        <v>0</v>
      </c>
    </row>
    <row r="16" spans="1:9" ht="15">
      <c r="A16" s="15">
        <v>23</v>
      </c>
      <c r="B16" s="716" t="s">
        <v>157</v>
      </c>
      <c r="C16" s="546" t="e">
        <f>+'[1]TB03-31-04(Final)'!F1025</f>
        <v>#REF!</v>
      </c>
      <c r="D16" s="545">
        <v>0</v>
      </c>
      <c r="E16" s="545">
        <v>0</v>
      </c>
      <c r="F16" s="545" t="e">
        <f>+C16-D16-E16</f>
        <v>#REF!</v>
      </c>
      <c r="G16" s="715"/>
      <c r="H16" s="705">
        <f>+'[6]Balance Sheet (pg 1)'!$D$17</f>
        <v>4979.98</v>
      </c>
      <c r="I16" s="702">
        <f>+'[6]Balance Sheet (pg 1)'!$E$17</f>
        <v>0</v>
      </c>
    </row>
    <row r="17" spans="2:9" ht="15">
      <c r="B17" s="719" t="s">
        <v>268</v>
      </c>
      <c r="C17" s="538" t="e">
        <f>SUM(C9:C16)</f>
        <v>#REF!</v>
      </c>
      <c r="D17" s="538">
        <f>SUM(D9:D16)</f>
        <v>10038.47</v>
      </c>
      <c r="E17" s="538">
        <f>SUM(E9:E16)</f>
        <v>219886.21000000002</v>
      </c>
      <c r="F17" s="538" t="e">
        <f>SUM(F9:F16)</f>
        <v>#REF!</v>
      </c>
      <c r="G17" s="715"/>
      <c r="H17" s="538">
        <f>SUM(H7:H16)</f>
        <v>681685.21</v>
      </c>
      <c r="I17" s="538">
        <f>SUM(I9:I16)</f>
        <v>9809096.21</v>
      </c>
    </row>
    <row r="18" spans="2:9" ht="15">
      <c r="B18" s="720"/>
      <c r="C18" s="539"/>
      <c r="D18" s="539"/>
      <c r="E18" s="539"/>
      <c r="F18" s="539"/>
      <c r="G18" s="715"/>
      <c r="H18" s="721"/>
      <c r="I18" s="722"/>
    </row>
    <row r="19" spans="1:9" ht="15">
      <c r="A19" s="774" t="s">
        <v>433</v>
      </c>
      <c r="B19" s="723" t="s">
        <v>269</v>
      </c>
      <c r="C19" s="539"/>
      <c r="D19" s="539"/>
      <c r="E19" s="539"/>
      <c r="F19" s="539"/>
      <c r="G19" s="715"/>
      <c r="H19" s="23"/>
      <c r="I19" s="722"/>
    </row>
    <row r="20" spans="1:9" ht="15">
      <c r="A20" s="15">
        <v>1</v>
      </c>
      <c r="B20" s="724" t="s">
        <v>140</v>
      </c>
      <c r="C20" s="539"/>
      <c r="D20" s="540"/>
      <c r="E20" s="548">
        <f>-'[1]TB3-31-04 (Pre)'!F199</f>
        <v>47682</v>
      </c>
      <c r="F20" s="540"/>
      <c r="G20" s="715"/>
      <c r="H20" s="360">
        <f>+'[6]Balance Sheet (pg 1)'!$D$26</f>
        <v>91297.81</v>
      </c>
      <c r="I20" s="722"/>
    </row>
    <row r="21" spans="1:9" ht="15">
      <c r="A21" s="15">
        <v>3</v>
      </c>
      <c r="B21" s="724" t="s">
        <v>141</v>
      </c>
      <c r="C21" s="539"/>
      <c r="D21" s="540"/>
      <c r="E21" s="548">
        <f>-'[1]TB3-31-04 (Pre)'!F198</f>
        <v>6748.45</v>
      </c>
      <c r="F21" s="549"/>
      <c r="G21" s="715"/>
      <c r="H21" s="360"/>
      <c r="I21" s="722"/>
    </row>
    <row r="22" spans="1:9" ht="15">
      <c r="A22" s="15">
        <v>4</v>
      </c>
      <c r="B22" s="724" t="s">
        <v>142</v>
      </c>
      <c r="C22" s="539"/>
      <c r="D22" s="617"/>
      <c r="E22" s="548">
        <f>-'[1]TB03-31-04(Final)'!G272</f>
        <v>263743.5</v>
      </c>
      <c r="F22" s="539"/>
      <c r="G22" s="715"/>
      <c r="H22" s="360">
        <f>+'[6]Balance Sheet (pg 1)'!$D$25</f>
        <v>113994.26000000001</v>
      </c>
      <c r="I22" s="722"/>
    </row>
    <row r="23" spans="1:9" ht="15">
      <c r="A23" s="15">
        <v>5</v>
      </c>
      <c r="B23" s="724" t="s">
        <v>105</v>
      </c>
      <c r="C23" s="539"/>
      <c r="D23" s="617"/>
      <c r="E23" s="548">
        <f>-'[1]TB03-31-04(Final)'!G207</f>
        <v>20527.9</v>
      </c>
      <c r="F23" s="539"/>
      <c r="G23" s="715"/>
      <c r="H23" s="130">
        <f>-'[5]TB09-30-02(Final)'!$F$195</f>
        <v>37678.14</v>
      </c>
      <c r="I23" s="722"/>
    </row>
    <row r="24" spans="1:9" ht="15" customHeight="1">
      <c r="A24" s="15">
        <v>6</v>
      </c>
      <c r="B24" s="724" t="s">
        <v>143</v>
      </c>
      <c r="C24" s="539"/>
      <c r="D24" s="539"/>
      <c r="E24" s="548">
        <f>-'[1]TB03-31-04(Final)'!G199</f>
        <v>50113.97</v>
      </c>
      <c r="F24" s="539"/>
      <c r="G24" s="715"/>
      <c r="H24" s="360">
        <f>+'[6]Balance Sheet (pg 1)'!$D$37</f>
        <v>34740</v>
      </c>
      <c r="I24" s="722"/>
    </row>
    <row r="25" spans="1:9" ht="15">
      <c r="A25" s="15">
        <v>10</v>
      </c>
      <c r="B25" s="724" t="s">
        <v>16</v>
      </c>
      <c r="C25" s="539"/>
      <c r="D25" s="540"/>
      <c r="E25" s="548">
        <f>-'[1]TB03-31-04(Final)'!G267</f>
        <v>446013</v>
      </c>
      <c r="F25" s="539"/>
      <c r="G25" s="715"/>
      <c r="H25" s="360">
        <f>+'[6]Balance Sheet (pg 1)'!$D$24</f>
        <v>364716</v>
      </c>
      <c r="I25" s="722"/>
    </row>
    <row r="26" spans="1:9" ht="15">
      <c r="A26" s="15">
        <v>14</v>
      </c>
      <c r="B26" s="724" t="s">
        <v>158</v>
      </c>
      <c r="C26" s="539"/>
      <c r="D26" s="540"/>
      <c r="E26" s="548">
        <f>-'[1]TB03-31-04(Final)'!G256</f>
        <v>294617.31</v>
      </c>
      <c r="F26" s="539"/>
      <c r="G26" s="715"/>
      <c r="H26" s="360">
        <f>+'[6]Balance Sheet (pg 1)'!$D$23</f>
        <v>965550.22</v>
      </c>
      <c r="I26" s="722"/>
    </row>
    <row r="27" spans="1:9" ht="15">
      <c r="A27" s="15">
        <v>27</v>
      </c>
      <c r="B27" s="724" t="s">
        <v>449</v>
      </c>
      <c r="C27" s="539"/>
      <c r="D27" s="540"/>
      <c r="E27" s="548">
        <f>-'[1]TB03-31-04(Final)'!G258</f>
        <v>1290906</v>
      </c>
      <c r="F27" s="539"/>
      <c r="G27" s="715"/>
      <c r="H27" s="360">
        <f>+'[6]Balance Sheet (pg 1)'!$D$22</f>
        <v>618846.84</v>
      </c>
      <c r="I27" s="722"/>
    </row>
    <row r="28" spans="1:9" ht="15">
      <c r="A28" s="15">
        <v>27</v>
      </c>
      <c r="B28" s="724" t="s">
        <v>450</v>
      </c>
      <c r="C28" s="539"/>
      <c r="D28" s="540"/>
      <c r="E28" s="547">
        <f>-'[1]TB03-31-04(Final)'!G260</f>
        <v>505030.11</v>
      </c>
      <c r="F28" s="539"/>
      <c r="G28" s="715"/>
      <c r="H28" s="360">
        <v>0</v>
      </c>
      <c r="I28" s="722"/>
    </row>
    <row r="29" spans="2:9" ht="15">
      <c r="B29" s="724"/>
      <c r="C29" s="725"/>
      <c r="D29" s="539"/>
      <c r="E29" s="539"/>
      <c r="F29" s="548"/>
      <c r="G29" s="715"/>
      <c r="H29" s="360"/>
      <c r="I29" s="722"/>
    </row>
    <row r="30" spans="2:9" ht="15">
      <c r="B30" s="727" t="s">
        <v>159</v>
      </c>
      <c r="C30" s="539"/>
      <c r="D30" s="539"/>
      <c r="E30" s="539"/>
      <c r="F30" s="549">
        <f>SUM(E20:E28)</f>
        <v>2925382.2399999998</v>
      </c>
      <c r="G30" s="715"/>
      <c r="H30" s="360"/>
      <c r="I30" s="726">
        <f>SUM(H25:H28)</f>
        <v>1949113.06</v>
      </c>
    </row>
    <row r="31" spans="2:9" ht="15">
      <c r="B31" s="720"/>
      <c r="C31" s="539"/>
      <c r="D31" s="539"/>
      <c r="E31" s="539"/>
      <c r="F31" s="539"/>
      <c r="G31" s="715"/>
      <c r="H31" s="360"/>
      <c r="I31" s="722"/>
    </row>
    <row r="32" spans="1:9" ht="15">
      <c r="A32" s="15">
        <v>23</v>
      </c>
      <c r="B32" s="723" t="s">
        <v>272</v>
      </c>
      <c r="C32" s="539"/>
      <c r="D32" s="539"/>
      <c r="E32" s="539"/>
      <c r="F32" s="539"/>
      <c r="G32" s="715"/>
      <c r="H32" s="360"/>
      <c r="I32" s="722"/>
    </row>
    <row r="33" spans="1:9" ht="15">
      <c r="A33" s="15">
        <v>9</v>
      </c>
      <c r="B33" s="724" t="s">
        <v>273</v>
      </c>
      <c r="C33" s="539"/>
      <c r="D33" s="540"/>
      <c r="E33" s="548">
        <f>-'[1]TB03-31-04(Final)'!G65</f>
        <v>11049613</v>
      </c>
      <c r="F33" s="539"/>
      <c r="G33" s="715"/>
      <c r="H33" s="360">
        <f>+'[6]Balance Sheet (pg 1)'!$D$31</f>
        <v>8776992</v>
      </c>
      <c r="I33" s="722"/>
    </row>
    <row r="34" spans="1:9" ht="15">
      <c r="A34" s="15">
        <v>114</v>
      </c>
      <c r="B34" s="724" t="s">
        <v>160</v>
      </c>
      <c r="C34" s="539"/>
      <c r="D34" s="540"/>
      <c r="E34" s="548">
        <f>-'[1]TB03-31-04(Final)'!G104</f>
        <v>6198399.7700000005</v>
      </c>
      <c r="F34" s="539"/>
      <c r="G34" s="715"/>
      <c r="H34" s="360">
        <f>+'[6]Balance Sheet (pg 1)'!$D$32</f>
        <v>5068927.600000001</v>
      </c>
      <c r="I34" s="722"/>
    </row>
    <row r="35" spans="1:9" ht="15">
      <c r="A35" s="15">
        <v>114</v>
      </c>
      <c r="B35" s="724" t="s">
        <v>161</v>
      </c>
      <c r="C35" s="539"/>
      <c r="D35" s="540"/>
      <c r="E35" s="548">
        <f>-'[1]TB03-31-04(Final)'!G121</f>
        <v>1364184.0999999999</v>
      </c>
      <c r="F35" s="539"/>
      <c r="G35" s="715"/>
      <c r="H35" s="360">
        <f>+'[6]Balance Sheet (pg 1)'!$D$33</f>
        <v>1302472.2</v>
      </c>
      <c r="I35" s="722"/>
    </row>
    <row r="36" spans="1:9" ht="15">
      <c r="A36" s="15">
        <v>114</v>
      </c>
      <c r="B36" s="724" t="s">
        <v>162</v>
      </c>
      <c r="C36" s="539"/>
      <c r="D36" s="540"/>
      <c r="E36" s="548">
        <f>-'[1]TB03-31-04(Final)'!G159</f>
        <v>524501</v>
      </c>
      <c r="F36" s="539"/>
      <c r="G36" s="715"/>
      <c r="H36" s="360">
        <f>+'[6]Balance Sheet (pg 1)'!$D$34</f>
        <v>394965.17999999993</v>
      </c>
      <c r="I36" s="722"/>
    </row>
    <row r="37" spans="1:9" ht="15">
      <c r="A37" s="15">
        <v>114</v>
      </c>
      <c r="B37" s="724" t="s">
        <v>163</v>
      </c>
      <c r="C37" s="540"/>
      <c r="D37" s="540"/>
      <c r="E37" s="548">
        <f>-'[1]TB03-31-04(Final)'!G193</f>
        <v>226567.97999999998</v>
      </c>
      <c r="F37" s="539"/>
      <c r="G37" s="715"/>
      <c r="H37" s="360">
        <f>+'[6]Balance Sheet (pg 1)'!$D$35</f>
        <v>127127.4</v>
      </c>
      <c r="I37" s="722"/>
    </row>
    <row r="38" spans="1:9" ht="15">
      <c r="A38" s="15">
        <v>5</v>
      </c>
      <c r="B38" s="724" t="s">
        <v>432</v>
      </c>
      <c r="C38" s="539"/>
      <c r="D38" s="540"/>
      <c r="E38" s="590">
        <f>-'[1]TB03-31-04(Final)'!G217</f>
        <v>330321.9</v>
      </c>
      <c r="F38" s="539"/>
      <c r="G38" s="715"/>
      <c r="H38" s="703">
        <f>+'[6]Balance Sheet (pg 1)'!$D$36-H27</f>
        <v>-293990.12999999995</v>
      </c>
      <c r="I38" s="722"/>
    </row>
    <row r="39" spans="2:9" ht="15" customHeight="1">
      <c r="B39" s="724"/>
      <c r="C39" s="539"/>
      <c r="D39" s="539"/>
      <c r="E39" s="548"/>
      <c r="F39" s="539"/>
      <c r="G39" s="715"/>
      <c r="H39" s="360"/>
      <c r="I39" s="722"/>
    </row>
    <row r="40" spans="2:9" ht="15" customHeight="1">
      <c r="B40" s="727" t="s">
        <v>391</v>
      </c>
      <c r="C40" s="539"/>
      <c r="D40" s="539"/>
      <c r="E40" s="540"/>
      <c r="F40" s="549">
        <f>SUM(E33:E38)</f>
        <v>19693587.75</v>
      </c>
      <c r="G40" s="715"/>
      <c r="H40" s="360"/>
      <c r="I40" s="726">
        <f>SUM(H33:H39)</f>
        <v>15376494.25</v>
      </c>
    </row>
    <row r="41" spans="2:9" ht="13.5" customHeight="1">
      <c r="B41" s="727"/>
      <c r="C41" s="539"/>
      <c r="D41" s="539"/>
      <c r="E41" s="540"/>
      <c r="F41" s="542"/>
      <c r="G41" s="715"/>
      <c r="H41" s="360"/>
      <c r="I41" s="722"/>
    </row>
    <row r="42" spans="2:9" ht="13.5" customHeight="1">
      <c r="B42" s="719" t="s">
        <v>275</v>
      </c>
      <c r="C42" s="539"/>
      <c r="D42" s="539"/>
      <c r="E42" s="540"/>
      <c r="F42" s="550">
        <f>F40+F30</f>
        <v>22618969.99</v>
      </c>
      <c r="G42" s="715"/>
      <c r="H42" s="360"/>
      <c r="I42" s="728">
        <f>I40+I30</f>
        <v>17325607.31</v>
      </c>
    </row>
    <row r="43" spans="2:9" ht="15">
      <c r="B43" s="720"/>
      <c r="C43" s="539"/>
      <c r="D43" s="539"/>
      <c r="E43" s="540"/>
      <c r="F43" s="539"/>
      <c r="G43" s="715"/>
      <c r="H43" s="360"/>
      <c r="I43" s="722"/>
    </row>
    <row r="44" spans="2:9" ht="15">
      <c r="B44" s="723" t="s">
        <v>276</v>
      </c>
      <c r="C44" s="539"/>
      <c r="D44" s="539"/>
      <c r="E44" s="540"/>
      <c r="F44" s="539"/>
      <c r="G44" s="715"/>
      <c r="H44" s="360"/>
      <c r="I44" s="722"/>
    </row>
    <row r="45" spans="2:9" ht="15">
      <c r="B45" s="724" t="s">
        <v>139</v>
      </c>
      <c r="C45" s="539"/>
      <c r="D45" s="539"/>
      <c r="E45" s="540"/>
      <c r="F45" s="549" t="e">
        <f>+F17-F42</f>
        <v>#REF!</v>
      </c>
      <c r="G45" s="715"/>
      <c r="H45" s="360"/>
      <c r="I45" s="726">
        <f>+'[6]Balance Sheet (pg 1)'!$E$44</f>
        <v>-8375390.010000002</v>
      </c>
    </row>
    <row r="46" spans="2:9" ht="15">
      <c r="B46" s="720"/>
      <c r="C46" s="540"/>
      <c r="D46" s="540"/>
      <c r="E46" s="540"/>
      <c r="F46" s="539"/>
      <c r="G46" s="715"/>
      <c r="H46" s="360"/>
      <c r="I46" s="722"/>
    </row>
    <row r="47" spans="2:9" ht="15.75" thickBot="1">
      <c r="B47" s="729" t="s">
        <v>277</v>
      </c>
      <c r="C47" s="730"/>
      <c r="D47" s="730"/>
      <c r="E47" s="730"/>
      <c r="F47" s="543" t="e">
        <f>F42+F45</f>
        <v>#REF!</v>
      </c>
      <c r="G47" s="731"/>
      <c r="H47" s="703"/>
      <c r="I47" s="732">
        <f>I42+I45</f>
        <v>8950217.299999997</v>
      </c>
    </row>
    <row r="48" spans="2:7" ht="15.75" thickTop="1">
      <c r="B48" s="16"/>
      <c r="C48" s="535"/>
      <c r="D48" s="535"/>
      <c r="E48" s="535"/>
      <c r="F48" s="535"/>
      <c r="G48" s="14"/>
    </row>
    <row r="49" spans="2:7" ht="15">
      <c r="B49" s="16"/>
      <c r="F49" s="535"/>
      <c r="G49" s="14"/>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80" hidden="1" customWidth="1"/>
    <col min="4" max="4" width="14.140625" style="0" hidden="1" customWidth="1"/>
    <col min="5" max="5" width="13.57421875" style="0" hidden="1" customWidth="1"/>
    <col min="6" max="6" width="14.7109375" style="756" customWidth="1"/>
    <col min="7" max="7" width="11.7109375" style="0" hidden="1" customWidth="1"/>
    <col min="8" max="8" width="12.57421875" style="0" hidden="1" customWidth="1"/>
    <col min="9" max="9" width="12.28125" style="0" hidden="1" customWidth="1"/>
    <col min="10" max="10" width="14.00390625" style="785" hidden="1" customWidth="1"/>
    <col min="11" max="11" width="15.00390625" style="785" hidden="1" customWidth="1"/>
    <col min="12" max="12" width="13.8515625" style="786" customWidth="1"/>
    <col min="13" max="15" width="9.140625" style="0" hidden="1" customWidth="1"/>
    <col min="16" max="16" width="14.28125" style="0" hidden="1" customWidth="1"/>
    <col min="17" max="17" width="12.28125" style="0" hidden="1" customWidth="1"/>
    <col min="18" max="18" width="13.140625" style="0" customWidth="1"/>
    <col min="19" max="19" width="10.57421875" style="801" customWidth="1"/>
    <col min="20" max="20" width="35.7109375" style="0" customWidth="1"/>
  </cols>
  <sheetData>
    <row r="1" spans="1:20" s="52" customFormat="1" ht="22.5" customHeight="1">
      <c r="A1" s="931" t="s">
        <v>260</v>
      </c>
      <c r="B1" s="931"/>
      <c r="C1" s="931"/>
      <c r="D1" s="931"/>
      <c r="E1" s="931"/>
      <c r="F1" s="931"/>
      <c r="G1" s="931"/>
      <c r="H1" s="931"/>
      <c r="I1" s="931"/>
      <c r="J1" s="931"/>
      <c r="K1" s="931"/>
      <c r="L1" s="931"/>
      <c r="M1" s="931"/>
      <c r="N1" s="931"/>
      <c r="O1" s="931"/>
      <c r="P1" s="931"/>
      <c r="Q1" s="931"/>
      <c r="R1" s="931"/>
      <c r="S1" s="931"/>
      <c r="T1" s="931"/>
    </row>
    <row r="2" ht="7.5" customHeight="1"/>
    <row r="3" spans="1:20" ht="19.5">
      <c r="A3" s="931" t="s">
        <v>119</v>
      </c>
      <c r="B3" s="931"/>
      <c r="C3" s="931"/>
      <c r="D3" s="931"/>
      <c r="E3" s="931"/>
      <c r="F3" s="931"/>
      <c r="G3" s="931"/>
      <c r="H3" s="931"/>
      <c r="I3" s="931"/>
      <c r="J3" s="931"/>
      <c r="K3" s="931"/>
      <c r="L3" s="931"/>
      <c r="M3" s="931"/>
      <c r="N3" s="931"/>
      <c r="O3" s="931"/>
      <c r="P3" s="931"/>
      <c r="Q3" s="931"/>
      <c r="R3" s="931"/>
      <c r="S3" s="931"/>
      <c r="T3" s="931"/>
    </row>
    <row r="4" spans="2:9" ht="8.25" customHeight="1">
      <c r="B4" s="746"/>
      <c r="C4" s="752"/>
      <c r="D4" s="746"/>
      <c r="E4" s="746"/>
      <c r="F4" s="752"/>
      <c r="G4" s="746"/>
      <c r="H4" s="746"/>
      <c r="I4" s="746"/>
    </row>
    <row r="5" spans="1:20" ht="19.5">
      <c r="A5" s="931" t="s">
        <v>5</v>
      </c>
      <c r="B5" s="931"/>
      <c r="C5" s="931"/>
      <c r="D5" s="931"/>
      <c r="E5" s="931"/>
      <c r="F5" s="931"/>
      <c r="G5" s="931"/>
      <c r="H5" s="931"/>
      <c r="I5" s="931"/>
      <c r="J5" s="931"/>
      <c r="K5" s="931"/>
      <c r="L5" s="931"/>
      <c r="M5" s="931"/>
      <c r="N5" s="931"/>
      <c r="O5" s="931"/>
      <c r="P5" s="931"/>
      <c r="Q5" s="931"/>
      <c r="R5" s="931"/>
      <c r="S5" s="931"/>
      <c r="T5" s="931"/>
    </row>
    <row r="6" spans="7:9" ht="12.75">
      <c r="G6" s="933" t="s">
        <v>240</v>
      </c>
      <c r="H6" s="933"/>
      <c r="I6" s="933"/>
    </row>
    <row r="7" spans="4:17" ht="12.75">
      <c r="D7" s="932" t="s">
        <v>136</v>
      </c>
      <c r="E7" s="932"/>
      <c r="F7" s="932"/>
      <c r="J7" s="932" t="s">
        <v>115</v>
      </c>
      <c r="K7" s="932"/>
      <c r="L7" s="932"/>
      <c r="M7" s="932"/>
      <c r="N7" s="932"/>
      <c r="O7" s="932"/>
      <c r="P7" s="932"/>
      <c r="Q7" s="932"/>
    </row>
    <row r="8" spans="4:18" ht="12.75">
      <c r="D8" s="765" t="s">
        <v>165</v>
      </c>
      <c r="E8" s="769" t="s">
        <v>166</v>
      </c>
      <c r="F8" s="932" t="s">
        <v>116</v>
      </c>
      <c r="G8" s="932"/>
      <c r="H8" s="932"/>
      <c r="I8" s="932"/>
      <c r="J8" s="932"/>
      <c r="K8" s="932"/>
      <c r="L8" s="932"/>
      <c r="P8" s="769"/>
      <c r="Q8" s="769"/>
      <c r="R8" s="769" t="s">
        <v>343</v>
      </c>
    </row>
    <row r="9" spans="2:20" ht="13.5" thickBot="1">
      <c r="B9" s="770" t="s">
        <v>7</v>
      </c>
      <c r="C9" s="760"/>
      <c r="D9" s="768" t="s">
        <v>164</v>
      </c>
      <c r="E9" s="770" t="s">
        <v>164</v>
      </c>
      <c r="F9" s="930" t="s">
        <v>2</v>
      </c>
      <c r="G9" s="930" t="s">
        <v>164</v>
      </c>
      <c r="H9" s="930" t="s">
        <v>164</v>
      </c>
      <c r="I9" s="930"/>
      <c r="J9" s="930" t="s">
        <v>164</v>
      </c>
      <c r="K9" s="930" t="s">
        <v>164</v>
      </c>
      <c r="L9" s="770" t="s">
        <v>3</v>
      </c>
      <c r="P9" s="770"/>
      <c r="Q9" s="757"/>
      <c r="R9" s="770" t="s">
        <v>66</v>
      </c>
      <c r="S9" s="796" t="s">
        <v>18</v>
      </c>
      <c r="T9" s="770" t="s">
        <v>19</v>
      </c>
    </row>
    <row r="10" spans="2:19" ht="12.75">
      <c r="B10" s="765"/>
      <c r="I10" s="376"/>
      <c r="S10" s="803"/>
    </row>
    <row r="11" spans="1:19" ht="12.75">
      <c r="A11" t="s">
        <v>327</v>
      </c>
      <c r="B11" s="765" t="s">
        <v>167</v>
      </c>
      <c r="C11" s="762"/>
      <c r="D11" s="763">
        <f>+'[1]TB03-31-04(Final)'!Z578+'[1]TB03-31-04(Final)'!E1004</f>
        <v>4438743.83</v>
      </c>
      <c r="E11" s="763">
        <v>0</v>
      </c>
      <c r="F11" s="846">
        <f>SUM(D11:E11)</f>
        <v>4438743.83</v>
      </c>
      <c r="G11" s="847"/>
      <c r="H11" s="847"/>
      <c r="I11" s="847">
        <f aca="true" t="shared" si="0" ref="I11:I28">SUM(G11:H11)</f>
        <v>0</v>
      </c>
      <c r="J11" s="848">
        <f>+'[5]TB09-30-02(Final)'!$I$511+'[5]TB09-30-02(Final)'!$E$911</f>
        <v>3977400.389999999</v>
      </c>
      <c r="K11" s="848"/>
      <c r="L11" s="846">
        <f>+J11+K11</f>
        <v>3977400.389999999</v>
      </c>
      <c r="M11" s="849"/>
      <c r="N11" s="849"/>
      <c r="O11" s="849"/>
      <c r="P11" s="849"/>
      <c r="Q11" s="849">
        <f>SUM(J11:P11)</f>
        <v>7954800.779999998</v>
      </c>
      <c r="R11" s="828">
        <f>+F11-L11</f>
        <v>461343.4400000009</v>
      </c>
      <c r="S11" s="800">
        <f>R11/L11</f>
        <v>0.11599119896501066</v>
      </c>
    </row>
    <row r="12" spans="2:19" ht="12.75">
      <c r="B12" s="765"/>
      <c r="C12" s="762"/>
      <c r="D12" s="763"/>
      <c r="E12" s="763"/>
      <c r="F12" s="776"/>
      <c r="G12" s="777"/>
      <c r="H12" s="777"/>
      <c r="I12" s="778"/>
      <c r="L12" s="776"/>
      <c r="Q12" s="759"/>
      <c r="R12" s="765"/>
      <c r="S12" s="800"/>
    </row>
    <row r="13" spans="2:19" ht="12.75">
      <c r="B13" s="765" t="s">
        <v>117</v>
      </c>
      <c r="C13" s="762"/>
      <c r="D13" s="763"/>
      <c r="E13" s="763"/>
      <c r="F13" s="776"/>
      <c r="G13" s="777"/>
      <c r="H13" s="777"/>
      <c r="I13" s="778"/>
      <c r="L13" s="776"/>
      <c r="Q13" s="759"/>
      <c r="R13" s="765"/>
      <c r="S13" s="800"/>
    </row>
    <row r="14" spans="2:19" ht="12.75">
      <c r="B14" s="765"/>
      <c r="C14" s="763"/>
      <c r="D14" s="763"/>
      <c r="E14" s="763"/>
      <c r="F14" s="776"/>
      <c r="G14" s="777"/>
      <c r="H14" s="777"/>
      <c r="I14" s="778"/>
      <c r="L14" s="776"/>
      <c r="Q14" s="759">
        <f aca="true" t="shared" si="1" ref="Q14:Q54">SUM(J14:P14)</f>
        <v>0</v>
      </c>
      <c r="R14" s="765"/>
      <c r="S14" s="800"/>
    </row>
    <row r="15" spans="1:20" ht="12.75">
      <c r="A15" t="s">
        <v>328</v>
      </c>
      <c r="B15" s="765" t="s">
        <v>95</v>
      </c>
      <c r="C15" s="762"/>
      <c r="D15" s="763">
        <v>0</v>
      </c>
      <c r="E15" s="763">
        <f>+'[1]TB03-31-04(Final)'!E630</f>
        <v>521247.75000000006</v>
      </c>
      <c r="F15" s="776">
        <f>SUM(D15:E15)</f>
        <v>521247.75000000006</v>
      </c>
      <c r="G15" s="777"/>
      <c r="H15" s="777"/>
      <c r="I15" s="778">
        <f t="shared" si="0"/>
        <v>0</v>
      </c>
      <c r="K15" s="785">
        <f>+'[5]TB09-30-02(Final)'!$E$551</f>
        <v>404349.55000000005</v>
      </c>
      <c r="L15" s="776">
        <f aca="true" t="shared" si="2" ref="L15:L54">+J15+K15</f>
        <v>404349.55000000005</v>
      </c>
      <c r="Q15" s="759">
        <f t="shared" si="1"/>
        <v>808699.1000000001</v>
      </c>
      <c r="R15" s="765">
        <f aca="true" t="shared" si="3" ref="R15:R65">+F15-L15</f>
        <v>116898.20000000001</v>
      </c>
      <c r="S15" s="800">
        <f>R15/L15</f>
        <v>0.2891018427002083</v>
      </c>
      <c r="T15" t="s">
        <v>225</v>
      </c>
    </row>
    <row r="16" spans="2:19" ht="12.75">
      <c r="B16" s="765"/>
      <c r="C16" s="762"/>
      <c r="D16" s="763"/>
      <c r="E16" s="763"/>
      <c r="F16" s="776"/>
      <c r="G16" s="777"/>
      <c r="H16" s="777"/>
      <c r="I16" s="778"/>
      <c r="L16" s="776"/>
      <c r="Q16" s="759">
        <f t="shared" si="1"/>
        <v>0</v>
      </c>
      <c r="R16" s="765"/>
      <c r="S16" s="800"/>
    </row>
    <row r="17" spans="1:19" ht="12.75">
      <c r="A17" t="s">
        <v>329</v>
      </c>
      <c r="B17" s="765" t="s">
        <v>168</v>
      </c>
      <c r="C17" s="762"/>
      <c r="D17" s="763">
        <v>0</v>
      </c>
      <c r="E17" s="763">
        <v>0</v>
      </c>
      <c r="F17" s="776">
        <f>SUM(D17:E17)</f>
        <v>0</v>
      </c>
      <c r="G17" s="777"/>
      <c r="H17" s="777"/>
      <c r="I17" s="778">
        <f t="shared" si="0"/>
        <v>0</v>
      </c>
      <c r="L17" s="776">
        <f t="shared" si="2"/>
        <v>0</v>
      </c>
      <c r="Q17" s="759">
        <f t="shared" si="1"/>
        <v>0</v>
      </c>
      <c r="R17" s="765">
        <f t="shared" si="3"/>
        <v>0</v>
      </c>
      <c r="S17" s="800"/>
    </row>
    <row r="18" spans="2:19" ht="12.75">
      <c r="B18" s="765"/>
      <c r="C18" s="762"/>
      <c r="D18" s="763"/>
      <c r="E18" s="763"/>
      <c r="F18" s="776"/>
      <c r="G18" s="777"/>
      <c r="H18" s="777"/>
      <c r="I18" s="778"/>
      <c r="L18" s="776"/>
      <c r="Q18" s="759">
        <f t="shared" si="1"/>
        <v>0</v>
      </c>
      <c r="R18" s="765"/>
      <c r="S18" s="800"/>
    </row>
    <row r="19" spans="1:19" ht="12.75">
      <c r="A19" t="s">
        <v>330</v>
      </c>
      <c r="B19" s="765" t="s">
        <v>169</v>
      </c>
      <c r="C19" s="762"/>
      <c r="D19" s="763"/>
      <c r="E19" s="763">
        <f>+'[1]TB03-31-04(Final)'!E639</f>
        <v>3506.25</v>
      </c>
      <c r="F19" s="776">
        <f>SUM(D19:E19)</f>
        <v>3506.25</v>
      </c>
      <c r="G19" s="777"/>
      <c r="H19" s="777"/>
      <c r="I19" s="778">
        <f t="shared" si="0"/>
        <v>0</v>
      </c>
      <c r="K19" s="785">
        <f>+'[5]TB09-30-02(Final)'!$E$559</f>
        <v>4125</v>
      </c>
      <c r="L19" s="776">
        <f t="shared" si="2"/>
        <v>4125</v>
      </c>
      <c r="Q19" s="759">
        <f t="shared" si="1"/>
        <v>8250</v>
      </c>
      <c r="R19" s="765">
        <f t="shared" si="3"/>
        <v>-618.75</v>
      </c>
      <c r="S19" s="800">
        <f>R19/L19</f>
        <v>-0.15</v>
      </c>
    </row>
    <row r="21" spans="1:20" ht="12.75">
      <c r="A21" t="s">
        <v>331</v>
      </c>
      <c r="B21" s="765" t="s">
        <v>121</v>
      </c>
      <c r="C21" s="762"/>
      <c r="D21" s="763">
        <v>0</v>
      </c>
      <c r="E21" s="763">
        <v>0</v>
      </c>
      <c r="F21" s="776">
        <f>SUM(D21:E21)</f>
        <v>0</v>
      </c>
      <c r="G21" s="777"/>
      <c r="H21" s="777"/>
      <c r="I21" s="778"/>
      <c r="K21" s="785">
        <f>+'[5]TB09-30-02(Final)'!$E$555</f>
        <v>14250</v>
      </c>
      <c r="L21" s="776">
        <f>+J21+K21</f>
        <v>14250</v>
      </c>
      <c r="Q21" s="759">
        <f>SUM(J21:P21)</f>
        <v>28500</v>
      </c>
      <c r="R21" s="765">
        <f>+F21-L21</f>
        <v>-14250</v>
      </c>
      <c r="S21" s="800">
        <f>R21/L21</f>
        <v>-1</v>
      </c>
      <c r="T21" t="s">
        <v>120</v>
      </c>
    </row>
    <row r="22" spans="2:19" ht="12.75">
      <c r="B22" s="765" t="s">
        <v>122</v>
      </c>
      <c r="C22" s="762"/>
      <c r="D22" s="763"/>
      <c r="E22" s="763"/>
      <c r="F22" s="776">
        <f>SUM(D23:E23)</f>
        <v>93073.73</v>
      </c>
      <c r="G22" s="777"/>
      <c r="H22" s="777"/>
      <c r="I22" s="778">
        <f>SUM(G22:H22)</f>
        <v>0</v>
      </c>
      <c r="K22" s="785">
        <f>'[5]TB09-30-02(Final)'!$E$565</f>
        <v>72119.22</v>
      </c>
      <c r="L22" s="776">
        <f>+J22+K22</f>
        <v>72119.22</v>
      </c>
      <c r="Q22" s="759">
        <f>SUM(J22:P22)</f>
        <v>144238.44</v>
      </c>
      <c r="R22" s="765">
        <f>+F22-L22</f>
        <v>20954.509999999995</v>
      </c>
      <c r="S22" s="800">
        <f>R22/L22</f>
        <v>0.2905537525225591</v>
      </c>
    </row>
    <row r="23" spans="3:5" ht="12.75">
      <c r="C23" s="762"/>
      <c r="D23" s="763">
        <f>+'[1]TB03-31-04(Final)'!D633</f>
        <v>104.64</v>
      </c>
      <c r="E23" s="763">
        <f>+'[1]TB03-31-04(Final)'!E647</f>
        <v>92969.09</v>
      </c>
    </row>
    <row r="24" spans="2:19" ht="12.75">
      <c r="B24" s="765"/>
      <c r="C24" s="762"/>
      <c r="D24" s="763"/>
      <c r="E24" s="763"/>
      <c r="F24" s="776"/>
      <c r="G24" s="777"/>
      <c r="H24" s="777"/>
      <c r="I24" s="778">
        <f t="shared" si="0"/>
        <v>0</v>
      </c>
      <c r="L24" s="776"/>
      <c r="Q24" s="759">
        <f t="shared" si="1"/>
        <v>0</v>
      </c>
      <c r="R24" s="765"/>
      <c r="S24" s="800"/>
    </row>
    <row r="25" spans="1:20" ht="12.75">
      <c r="A25" t="s">
        <v>332</v>
      </c>
      <c r="B25" s="765" t="s">
        <v>25</v>
      </c>
      <c r="C25" s="762">
        <v>542.61</v>
      </c>
      <c r="D25" s="763">
        <f>+'[1]TB03-31-04(Final)'!Z765</f>
        <v>642.87</v>
      </c>
      <c r="E25" s="763">
        <f>+'[1]TB03-31-04(Final)'!Z768</f>
        <v>4352.13</v>
      </c>
      <c r="F25" s="776">
        <f>SUM(D25:E25)</f>
        <v>4995</v>
      </c>
      <c r="G25" s="777"/>
      <c r="H25" s="777"/>
      <c r="I25" s="778">
        <f t="shared" si="0"/>
        <v>0</v>
      </c>
      <c r="J25" s="787">
        <v>-9625.77</v>
      </c>
      <c r="K25" s="785">
        <f>+'[5]TB09-30-02(Final)'!$E$678-J25</f>
        <v>-67442.04</v>
      </c>
      <c r="L25" s="776">
        <f t="shared" si="2"/>
        <v>-77067.81</v>
      </c>
      <c r="Q25" s="759">
        <f t="shared" si="1"/>
        <v>-154135.62</v>
      </c>
      <c r="R25" s="765">
        <f t="shared" si="3"/>
        <v>82062.81</v>
      </c>
      <c r="S25" s="800">
        <f>R25/L25</f>
        <v>-1.0648130522977104</v>
      </c>
      <c r="T25" t="s">
        <v>130</v>
      </c>
    </row>
    <row r="26" spans="2:19" ht="12.75">
      <c r="B26" s="765"/>
      <c r="C26" s="762"/>
      <c r="D26" s="763"/>
      <c r="E26" s="763"/>
      <c r="F26" s="776"/>
      <c r="G26" s="777"/>
      <c r="H26" s="777"/>
      <c r="I26" s="778">
        <f t="shared" si="0"/>
        <v>0</v>
      </c>
      <c r="J26" s="787"/>
      <c r="L26" s="776">
        <f t="shared" si="2"/>
        <v>0</v>
      </c>
      <c r="Q26" s="759">
        <f t="shared" si="1"/>
        <v>0</v>
      </c>
      <c r="R26" s="765">
        <f t="shared" si="3"/>
        <v>0</v>
      </c>
      <c r="S26" s="800"/>
    </row>
    <row r="27" spans="1:19" ht="12.75">
      <c r="A27" t="s">
        <v>333</v>
      </c>
      <c r="B27" s="765" t="s">
        <v>170</v>
      </c>
      <c r="C27" s="762"/>
      <c r="D27" s="763"/>
      <c r="E27" s="763"/>
      <c r="F27" s="776">
        <f>SUM(D27:E27)</f>
        <v>0</v>
      </c>
      <c r="G27" s="777"/>
      <c r="H27" s="777"/>
      <c r="I27" s="778">
        <f t="shared" si="0"/>
        <v>0</v>
      </c>
      <c r="J27" s="787"/>
      <c r="L27" s="776">
        <f t="shared" si="2"/>
        <v>0</v>
      </c>
      <c r="Q27" s="759">
        <f t="shared" si="1"/>
        <v>0</v>
      </c>
      <c r="R27" s="765">
        <f t="shared" si="3"/>
        <v>0</v>
      </c>
      <c r="S27" s="800"/>
    </row>
    <row r="28" spans="2:19" ht="12.75">
      <c r="B28" s="763" t="s">
        <v>171</v>
      </c>
      <c r="C28" s="762">
        <v>52540.85</v>
      </c>
      <c r="D28" s="763">
        <f>+'[1]TB03-31-04(Final)'!D654</f>
        <v>64199.27</v>
      </c>
      <c r="E28" s="763">
        <f>+'[1]TB03-31-04(Final)'!E657-D28</f>
        <v>442443.3300000001</v>
      </c>
      <c r="F28" s="776">
        <f>SUM(D28:E28)</f>
        <v>506642.6000000001</v>
      </c>
      <c r="G28" s="777"/>
      <c r="H28" s="777"/>
      <c r="I28" s="778">
        <f t="shared" si="0"/>
        <v>0</v>
      </c>
      <c r="J28" s="787">
        <f>+'[5]TB09-30-02(Final)'!$D$572</f>
        <v>60915.6</v>
      </c>
      <c r="K28" s="785">
        <f>+'[5]TB09-30-02(Final)'!$E$575-J28</f>
        <v>433011.91</v>
      </c>
      <c r="L28" s="776">
        <f t="shared" si="2"/>
        <v>493927.50999999995</v>
      </c>
      <c r="Q28" s="759">
        <f t="shared" si="1"/>
        <v>987855.0199999999</v>
      </c>
      <c r="R28" s="765">
        <f t="shared" si="3"/>
        <v>12715.090000000142</v>
      </c>
      <c r="S28" s="800">
        <f>R28/L28</f>
        <v>0.025742826108228197</v>
      </c>
    </row>
    <row r="29" spans="2:19" ht="12.75">
      <c r="B29" s="763" t="s">
        <v>172</v>
      </c>
      <c r="C29" s="762">
        <f>3911.93+556.52+147.7-0.79</f>
        <v>4615.36</v>
      </c>
      <c r="D29" s="763">
        <f>+'[1]TB03-31-04(Final)'!Z760</f>
        <v>6232.78</v>
      </c>
      <c r="E29" s="763">
        <f>+'[1]TB03-31-04(Final)'!Z761-D29</f>
        <v>43720.38000000001</v>
      </c>
      <c r="F29" s="776">
        <f>SUM(D29:E29)</f>
        <v>49953.16000000001</v>
      </c>
      <c r="G29" s="777"/>
      <c r="H29" s="777"/>
      <c r="I29" s="778"/>
      <c r="J29" s="787">
        <f>4560.4+633.08+166.63+5.08+7.99</f>
        <v>5373.179999999999</v>
      </c>
      <c r="K29" s="785">
        <f>SUM('[5]TB09-30-02(Final)'!$E$631:$E$670)-J29</f>
        <v>36787.85</v>
      </c>
      <c r="L29" s="776">
        <f t="shared" si="2"/>
        <v>42161.03</v>
      </c>
      <c r="Q29" s="759">
        <f t="shared" si="1"/>
        <v>84322.06</v>
      </c>
      <c r="R29" s="765">
        <f t="shared" si="3"/>
        <v>7792.130000000012</v>
      </c>
      <c r="S29" s="800">
        <f>R29/L29</f>
        <v>0.18481830258890763</v>
      </c>
    </row>
    <row r="30" spans="2:19" ht="12.75">
      <c r="B30" s="765"/>
      <c r="C30" s="762"/>
      <c r="D30" s="763"/>
      <c r="E30" s="763"/>
      <c r="F30" s="776">
        <f>SUM(D30:E30)</f>
        <v>0</v>
      </c>
      <c r="G30" s="777"/>
      <c r="H30" s="777"/>
      <c r="I30" s="778"/>
      <c r="J30" s="787"/>
      <c r="L30" s="776">
        <f t="shared" si="2"/>
        <v>0</v>
      </c>
      <c r="Q30" s="759">
        <f t="shared" si="1"/>
        <v>0</v>
      </c>
      <c r="R30" s="765">
        <f t="shared" si="3"/>
        <v>0</v>
      </c>
      <c r="S30" s="800"/>
    </row>
    <row r="31" spans="1:20" ht="12.75">
      <c r="A31" t="s">
        <v>334</v>
      </c>
      <c r="B31" s="765" t="s">
        <v>435</v>
      </c>
      <c r="C31" s="762">
        <f>248.53+79.86+13823.98+583+3163.07+9266.34</f>
        <v>27164.78</v>
      </c>
      <c r="D31" s="763">
        <f>+'[1]TB03-31-04(Final)'!Z720</f>
        <v>34486.11</v>
      </c>
      <c r="E31" s="763">
        <f>+'[1]TB03-31-04(Final)'!Z721-'[1]TB03-31-04(Final)'!Z720</f>
        <v>244292.7</v>
      </c>
      <c r="F31" s="776">
        <f>SUM(D31:E31)</f>
        <v>278778.81</v>
      </c>
      <c r="G31" s="777"/>
      <c r="H31" s="777"/>
      <c r="I31" s="778"/>
      <c r="J31" s="787">
        <f>253.57+92.43+12124.74+539.42+3593.13+2822.87</f>
        <v>19426.16</v>
      </c>
      <c r="K31" s="785">
        <f>SUM('[5]TB09-30-02(Final)'!$E$581:$E$630)-J31</f>
        <v>140199.27</v>
      </c>
      <c r="L31" s="776">
        <f t="shared" si="2"/>
        <v>159625.43</v>
      </c>
      <c r="Q31" s="759">
        <f t="shared" si="1"/>
        <v>319250.86</v>
      </c>
      <c r="R31" s="765">
        <f t="shared" si="3"/>
        <v>119153.38</v>
      </c>
      <c r="S31" s="800">
        <f>R31/L31</f>
        <v>0.7464561254431704</v>
      </c>
      <c r="T31" s="376">
        <v>137024.19</v>
      </c>
    </row>
    <row r="32" spans="2:20" ht="12.75">
      <c r="B32" s="763" t="s">
        <v>65</v>
      </c>
      <c r="C32" s="762"/>
      <c r="D32" s="763"/>
      <c r="E32" s="763"/>
      <c r="F32" s="776"/>
      <c r="G32" s="777"/>
      <c r="H32" s="777"/>
      <c r="I32" s="778"/>
      <c r="J32" s="787"/>
      <c r="L32" s="776">
        <f t="shared" si="2"/>
        <v>0</v>
      </c>
      <c r="Q32" s="759">
        <f t="shared" si="1"/>
        <v>0</v>
      </c>
      <c r="R32" s="765">
        <f t="shared" si="3"/>
        <v>0</v>
      </c>
      <c r="S32" s="800"/>
      <c r="T32" s="376">
        <v>22601.24</v>
      </c>
    </row>
    <row r="33" spans="2:20" ht="12.75">
      <c r="B33" s="763" t="s">
        <v>64</v>
      </c>
      <c r="C33" s="762"/>
      <c r="D33" s="763"/>
      <c r="E33" s="763"/>
      <c r="F33" s="776"/>
      <c r="G33" s="777"/>
      <c r="H33" s="777"/>
      <c r="I33" s="778"/>
      <c r="J33" s="787"/>
      <c r="L33" s="776">
        <f t="shared" si="2"/>
        <v>0</v>
      </c>
      <c r="Q33" s="759">
        <f t="shared" si="1"/>
        <v>0</v>
      </c>
      <c r="R33" s="765">
        <f t="shared" si="3"/>
        <v>0</v>
      </c>
      <c r="S33" s="800"/>
      <c r="T33" s="376">
        <v>0</v>
      </c>
    </row>
    <row r="34" spans="2:20" ht="12.75">
      <c r="B34" s="765"/>
      <c r="C34" s="762"/>
      <c r="D34" s="763"/>
      <c r="E34" s="763"/>
      <c r="F34" s="776"/>
      <c r="G34" s="777"/>
      <c r="H34" s="777"/>
      <c r="I34" s="778"/>
      <c r="J34" s="787"/>
      <c r="L34" s="776"/>
      <c r="Q34" s="759">
        <f t="shared" si="1"/>
        <v>0</v>
      </c>
      <c r="R34" s="765"/>
      <c r="S34" s="800"/>
      <c r="T34" t="s">
        <v>127</v>
      </c>
    </row>
    <row r="35" spans="1:20" ht="12.75">
      <c r="A35" t="s">
        <v>335</v>
      </c>
      <c r="B35" s="765" t="s">
        <v>146</v>
      </c>
      <c r="C35" s="762"/>
      <c r="D35" s="763">
        <f>+'[1]TB03-31-04(Final)'!Z963</f>
        <v>0</v>
      </c>
      <c r="E35" s="763">
        <f>+'[1]TB03-31-04(Final)'!E966</f>
        <v>0</v>
      </c>
      <c r="F35" s="776">
        <f aca="true" t="shared" si="4" ref="F35:F46">SUM(D35:E35)</f>
        <v>0</v>
      </c>
      <c r="G35" s="777"/>
      <c r="H35" s="777"/>
      <c r="I35" s="778"/>
      <c r="J35" s="787">
        <f>+'[5]TB09-30-02(Final)'!$D$872</f>
        <v>0</v>
      </c>
      <c r="K35" s="785">
        <f>+'[5]TB09-30-02(Final)'!$E$875-J35</f>
        <v>17941</v>
      </c>
      <c r="L35" s="776">
        <f t="shared" si="2"/>
        <v>17941</v>
      </c>
      <c r="Q35" s="759">
        <f t="shared" si="1"/>
        <v>35882</v>
      </c>
      <c r="R35" s="765">
        <f t="shared" si="3"/>
        <v>-17941</v>
      </c>
      <c r="S35" s="800">
        <f>R35/L35</f>
        <v>-1</v>
      </c>
      <c r="T35" t="s">
        <v>131</v>
      </c>
    </row>
    <row r="36" spans="2:19" ht="12.75">
      <c r="B36" s="765"/>
      <c r="C36" s="762"/>
      <c r="D36" s="763"/>
      <c r="E36" s="763"/>
      <c r="F36" s="776">
        <f t="shared" si="4"/>
        <v>0</v>
      </c>
      <c r="G36" s="777"/>
      <c r="H36" s="777"/>
      <c r="I36" s="778"/>
      <c r="J36" s="787"/>
      <c r="L36" s="776">
        <f t="shared" si="2"/>
        <v>0</v>
      </c>
      <c r="Q36" s="759">
        <f t="shared" si="1"/>
        <v>0</v>
      </c>
      <c r="R36" s="765">
        <f t="shared" si="3"/>
        <v>0</v>
      </c>
      <c r="S36" s="800"/>
    </row>
    <row r="37" spans="1:19" ht="12.75">
      <c r="A37" t="s">
        <v>336</v>
      </c>
      <c r="B37" s="765" t="s">
        <v>174</v>
      </c>
      <c r="C37" s="762"/>
      <c r="D37" s="763">
        <v>0</v>
      </c>
      <c r="E37" s="763">
        <v>700</v>
      </c>
      <c r="F37" s="776">
        <f t="shared" si="4"/>
        <v>700</v>
      </c>
      <c r="G37" s="777"/>
      <c r="H37" s="777"/>
      <c r="I37" s="778"/>
      <c r="J37" s="787">
        <v>0</v>
      </c>
      <c r="K37" s="785">
        <f>+'[5]TB09-30-02(Final)'!$E$708-J37</f>
        <v>1300</v>
      </c>
      <c r="L37" s="776">
        <f t="shared" si="2"/>
        <v>1300</v>
      </c>
      <c r="Q37" s="759">
        <f t="shared" si="1"/>
        <v>2600</v>
      </c>
      <c r="R37" s="765">
        <f t="shared" si="3"/>
        <v>-600</v>
      </c>
      <c r="S37" s="800">
        <f>R37/L37</f>
        <v>-0.46153846153846156</v>
      </c>
    </row>
    <row r="38" spans="2:19" ht="12.75">
      <c r="B38" s="765"/>
      <c r="C38" s="762"/>
      <c r="D38" s="763"/>
      <c r="E38" s="763"/>
      <c r="F38" s="776">
        <f t="shared" si="4"/>
        <v>0</v>
      </c>
      <c r="G38" s="777"/>
      <c r="H38" s="777"/>
      <c r="I38" s="778"/>
      <c r="J38" s="787"/>
      <c r="L38" s="776">
        <f t="shared" si="2"/>
        <v>0</v>
      </c>
      <c r="Q38" s="759">
        <f t="shared" si="1"/>
        <v>0</v>
      </c>
      <c r="R38" s="765">
        <f t="shared" si="3"/>
        <v>0</v>
      </c>
      <c r="S38" s="800"/>
    </row>
    <row r="39" spans="1:19" ht="12.75">
      <c r="A39" t="s">
        <v>337</v>
      </c>
      <c r="B39" s="765" t="s">
        <v>175</v>
      </c>
      <c r="C39" s="762">
        <v>1427.25</v>
      </c>
      <c r="D39" s="763">
        <f>+'[1]TB03-31-04(Final)'!Z955</f>
        <v>458.98</v>
      </c>
      <c r="E39" s="763">
        <f>+'[1]TB03-31-04(Final)'!Z958</f>
        <v>1732.87</v>
      </c>
      <c r="F39" s="776">
        <f t="shared" si="4"/>
        <v>2191.85</v>
      </c>
      <c r="G39" s="777"/>
      <c r="H39" s="777"/>
      <c r="I39" s="778"/>
      <c r="J39" s="787">
        <v>330.55</v>
      </c>
      <c r="K39" s="785">
        <f>SUM('[5]TB09-30-02(Final)'!$E$867)-J39</f>
        <v>3342.7299999999996</v>
      </c>
      <c r="L39" s="776">
        <f t="shared" si="2"/>
        <v>3673.2799999999997</v>
      </c>
      <c r="Q39" s="759">
        <f t="shared" si="1"/>
        <v>7346.5599999999995</v>
      </c>
      <c r="R39" s="765">
        <f t="shared" si="3"/>
        <v>-1481.4299999999998</v>
      </c>
      <c r="S39" s="800">
        <f>R39/L39</f>
        <v>-0.4032989589685512</v>
      </c>
    </row>
    <row r="40" spans="2:19" ht="12.75">
      <c r="B40" s="765"/>
      <c r="C40" s="762"/>
      <c r="D40" s="763"/>
      <c r="E40" s="763"/>
      <c r="F40" s="776">
        <f t="shared" si="4"/>
        <v>0</v>
      </c>
      <c r="G40" s="777"/>
      <c r="H40" s="777"/>
      <c r="I40" s="778"/>
      <c r="J40" s="787"/>
      <c r="L40" s="776">
        <f t="shared" si="2"/>
        <v>0</v>
      </c>
      <c r="Q40" s="759">
        <f t="shared" si="1"/>
        <v>0</v>
      </c>
      <c r="R40" s="765">
        <f t="shared" si="3"/>
        <v>0</v>
      </c>
      <c r="S40" s="800"/>
    </row>
    <row r="41" spans="1:19" ht="12.75">
      <c r="A41" t="s">
        <v>338</v>
      </c>
      <c r="B41" s="765" t="s">
        <v>176</v>
      </c>
      <c r="C41" s="762">
        <f>8755.56+916.17+869.2</f>
        <v>10540.93</v>
      </c>
      <c r="D41" s="763">
        <f>+'[1]TB03-31-04(Final)'!Z885+'[1]TB03-31-04(Final)'!Z893+'[1]TB03-31-04(Final)'!Z916</f>
        <v>10203.87</v>
      </c>
      <c r="E41" s="763">
        <f>+'[1]TB03-31-04(Final)'!Z896+'[1]TB03-31-04(Final)'!Z918-D41</f>
        <v>80439.4</v>
      </c>
      <c r="F41" s="776">
        <f t="shared" si="4"/>
        <v>90643.26999999999</v>
      </c>
      <c r="G41" s="777"/>
      <c r="H41" s="777"/>
      <c r="I41" s="778"/>
      <c r="J41" s="787">
        <f>8555.67+1016.99+833.91</f>
        <v>10406.57</v>
      </c>
      <c r="K41" s="785">
        <f>SUM('[5]TB09-30-02(Final)'!$E$798:$E$806)+'[5]TB09-30-02(Final)'!$E$828-J41</f>
        <v>82521.57999999999</v>
      </c>
      <c r="L41" s="776">
        <f t="shared" si="2"/>
        <v>92928.15</v>
      </c>
      <c r="Q41" s="759">
        <f t="shared" si="1"/>
        <v>185856.3</v>
      </c>
      <c r="R41" s="765">
        <f t="shared" si="3"/>
        <v>-2284.8800000000047</v>
      </c>
      <c r="S41" s="800">
        <f>R41/L41</f>
        <v>-0.024587598052904367</v>
      </c>
    </row>
    <row r="42" spans="2:19" ht="12.75">
      <c r="B42" s="765"/>
      <c r="C42" s="762"/>
      <c r="D42" s="763"/>
      <c r="E42" s="763"/>
      <c r="F42" s="776">
        <f t="shared" si="4"/>
        <v>0</v>
      </c>
      <c r="G42" s="777"/>
      <c r="H42" s="777"/>
      <c r="I42" s="778"/>
      <c r="J42" s="787"/>
      <c r="L42" s="776">
        <f t="shared" si="2"/>
        <v>0</v>
      </c>
      <c r="Q42" s="759">
        <f t="shared" si="1"/>
        <v>0</v>
      </c>
      <c r="R42" s="765">
        <f t="shared" si="3"/>
        <v>0</v>
      </c>
      <c r="S42" s="800"/>
    </row>
    <row r="43" spans="1:19" ht="12.75">
      <c r="A43" t="s">
        <v>339</v>
      </c>
      <c r="B43" s="765" t="s">
        <v>185</v>
      </c>
      <c r="C43" s="762">
        <v>1404</v>
      </c>
      <c r="D43" s="763">
        <f>+'[1]TB03-31-04(Final)'!Z879</f>
        <v>1666.56</v>
      </c>
      <c r="E43" s="763">
        <f>+'[1]TB03-31-04(Final)'!Z880-D43</f>
        <v>13585.060000000001</v>
      </c>
      <c r="F43" s="776">
        <f t="shared" si="4"/>
        <v>15251.62</v>
      </c>
      <c r="G43" s="777"/>
      <c r="H43" s="777"/>
      <c r="I43" s="778"/>
      <c r="J43" s="787">
        <v>1418.66</v>
      </c>
      <c r="K43" s="785">
        <f>SUM('[5]TB09-30-02(Final)'!$E$782)+'[5]TB09-30-02(Final)'!$D$789-J43</f>
        <v>11079.07</v>
      </c>
      <c r="L43" s="776">
        <f t="shared" si="2"/>
        <v>12497.73</v>
      </c>
      <c r="Q43" s="759">
        <f t="shared" si="1"/>
        <v>24995.46</v>
      </c>
      <c r="R43" s="765">
        <f t="shared" si="3"/>
        <v>2753.8900000000012</v>
      </c>
      <c r="S43" s="800">
        <f>R43/L43</f>
        <v>0.2203512157807859</v>
      </c>
    </row>
    <row r="44" spans="2:19" ht="12.75">
      <c r="B44" s="765"/>
      <c r="C44" s="762"/>
      <c r="D44" s="763"/>
      <c r="E44" s="763"/>
      <c r="F44" s="776">
        <f t="shared" si="4"/>
        <v>0</v>
      </c>
      <c r="G44" s="777"/>
      <c r="H44" s="777"/>
      <c r="I44" s="778"/>
      <c r="J44" s="787"/>
      <c r="L44" s="776">
        <f t="shared" si="2"/>
        <v>0</v>
      </c>
      <c r="Q44" s="759">
        <f t="shared" si="1"/>
        <v>0</v>
      </c>
      <c r="R44" s="765">
        <f t="shared" si="3"/>
        <v>0</v>
      </c>
      <c r="S44" s="800"/>
    </row>
    <row r="45" spans="1:19" ht="12.75">
      <c r="A45" t="s">
        <v>340</v>
      </c>
      <c r="B45" s="765" t="s">
        <v>24</v>
      </c>
      <c r="C45" s="762">
        <f>1424.49+806+206</f>
        <v>2436.49</v>
      </c>
      <c r="D45" s="763">
        <f>SUM(B46:B48)</f>
        <v>2435.74</v>
      </c>
      <c r="E45" s="763">
        <f>+'[1]TB03-31-04(Final)'!Z863-D45</f>
        <v>19064.65</v>
      </c>
      <c r="F45" s="776">
        <f t="shared" si="4"/>
        <v>21500.39</v>
      </c>
      <c r="G45" s="777"/>
      <c r="H45" s="777"/>
      <c r="I45" s="778"/>
      <c r="J45" s="787">
        <f>1843.4+1541.91+236.81</f>
        <v>3622.1200000000003</v>
      </c>
      <c r="K45" s="785">
        <f>SUM('[5]TB09-30-02(Final)'!$E$742:$E$773)-J45</f>
        <v>25378.04</v>
      </c>
      <c r="L45" s="776">
        <f t="shared" si="2"/>
        <v>29000.16</v>
      </c>
      <c r="Q45" s="759">
        <f t="shared" si="1"/>
        <v>58000.32</v>
      </c>
      <c r="R45" s="765">
        <f t="shared" si="3"/>
        <v>-7499.77</v>
      </c>
      <c r="S45" s="800">
        <f>R45/L45</f>
        <v>-0.2586113317995487</v>
      </c>
    </row>
    <row r="46" spans="2:19" ht="12.75" hidden="1">
      <c r="B46" s="765">
        <v>1424.49</v>
      </c>
      <c r="C46" s="762"/>
      <c r="D46" s="763"/>
      <c r="E46" s="763"/>
      <c r="F46" s="776">
        <f t="shared" si="4"/>
        <v>0</v>
      </c>
      <c r="G46" s="777"/>
      <c r="H46" s="777"/>
      <c r="I46" s="778"/>
      <c r="J46" s="787"/>
      <c r="L46" s="776">
        <f t="shared" si="2"/>
        <v>0</v>
      </c>
      <c r="Q46" s="759">
        <f t="shared" si="1"/>
        <v>0</v>
      </c>
      <c r="R46" s="765">
        <f t="shared" si="3"/>
        <v>0</v>
      </c>
      <c r="S46" s="800" t="e">
        <f>R46/L46</f>
        <v>#DIV/0!</v>
      </c>
    </row>
    <row r="47" spans="2:19" ht="12.75" hidden="1">
      <c r="B47" s="765">
        <v>805.55</v>
      </c>
      <c r="C47" s="762"/>
      <c r="D47" s="763"/>
      <c r="E47" s="763"/>
      <c r="F47" s="776"/>
      <c r="G47" s="777"/>
      <c r="H47" s="777"/>
      <c r="I47" s="778"/>
      <c r="J47" s="787"/>
      <c r="L47" s="776">
        <f t="shared" si="2"/>
        <v>0</v>
      </c>
      <c r="Q47" s="759">
        <f t="shared" si="1"/>
        <v>0</v>
      </c>
      <c r="R47" s="765">
        <f t="shared" si="3"/>
        <v>0</v>
      </c>
      <c r="S47" s="800" t="e">
        <f>R47/L47</f>
        <v>#DIV/0!</v>
      </c>
    </row>
    <row r="48" spans="2:19" ht="12.75" hidden="1">
      <c r="B48" s="765">
        <v>205.7</v>
      </c>
      <c r="C48" s="762"/>
      <c r="D48" s="763"/>
      <c r="E48" s="763"/>
      <c r="F48" s="776"/>
      <c r="G48" s="777"/>
      <c r="H48" s="777"/>
      <c r="I48" s="778"/>
      <c r="J48" s="787"/>
      <c r="L48" s="776">
        <f t="shared" si="2"/>
        <v>0</v>
      </c>
      <c r="Q48" s="759">
        <f t="shared" si="1"/>
        <v>0</v>
      </c>
      <c r="R48" s="765">
        <f t="shared" si="3"/>
        <v>0</v>
      </c>
      <c r="S48" s="800" t="e">
        <f>R48/L48</f>
        <v>#DIV/0!</v>
      </c>
    </row>
    <row r="49" spans="2:19" ht="12.75">
      <c r="B49" s="765"/>
      <c r="C49" s="762"/>
      <c r="D49" s="763"/>
      <c r="E49" s="763"/>
      <c r="F49" s="776"/>
      <c r="G49" s="777"/>
      <c r="H49" s="777"/>
      <c r="I49" s="778"/>
      <c r="J49" s="787"/>
      <c r="L49" s="776">
        <f t="shared" si="2"/>
        <v>0</v>
      </c>
      <c r="Q49" s="759">
        <f t="shared" si="1"/>
        <v>0</v>
      </c>
      <c r="R49" s="765">
        <f t="shared" si="3"/>
        <v>0</v>
      </c>
      <c r="S49" s="800"/>
    </row>
    <row r="50" spans="1:19" ht="12.75">
      <c r="A50" t="s">
        <v>341</v>
      </c>
      <c r="B50" s="765" t="s">
        <v>187</v>
      </c>
      <c r="C50" s="762">
        <f>801.69+675.35</f>
        <v>1477.04</v>
      </c>
      <c r="D50" s="763">
        <f>+'[1]TB03-31-04(Final)'!Z941</f>
        <v>2273.06</v>
      </c>
      <c r="E50" s="763">
        <f>+'[1]TB03-31-04(Final)'!Z942-D50</f>
        <v>23542.219999999998</v>
      </c>
      <c r="F50" s="776">
        <f>SUM(D50:E50)</f>
        <v>25815.28</v>
      </c>
      <c r="G50" s="777"/>
      <c r="H50" s="777"/>
      <c r="I50" s="778"/>
      <c r="J50" s="787">
        <f>263.34+1215.67+5.48</f>
        <v>1484.49</v>
      </c>
      <c r="K50" s="785">
        <f>SUM('[5]TB09-30-02(Final)'!$E$829:$E$860)-J50</f>
        <v>25704.69</v>
      </c>
      <c r="L50" s="776">
        <f t="shared" si="2"/>
        <v>27189.18</v>
      </c>
      <c r="Q50" s="759">
        <f t="shared" si="1"/>
        <v>54378.36</v>
      </c>
      <c r="R50" s="765">
        <f t="shared" si="3"/>
        <v>-1373.9000000000015</v>
      </c>
      <c r="S50" s="800">
        <f>R50/L50</f>
        <v>-0.05053113039819522</v>
      </c>
    </row>
    <row r="51" spans="2:19" ht="12.75">
      <c r="B51" s="765"/>
      <c r="C51" s="762"/>
      <c r="D51" s="763"/>
      <c r="E51" s="763"/>
      <c r="F51" s="776"/>
      <c r="G51" s="777"/>
      <c r="H51" s="777"/>
      <c r="I51" s="778"/>
      <c r="J51" s="787"/>
      <c r="L51" s="776">
        <f t="shared" si="2"/>
        <v>0</v>
      </c>
      <c r="Q51" s="759">
        <f t="shared" si="1"/>
        <v>0</v>
      </c>
      <c r="R51" s="765">
        <f t="shared" si="3"/>
        <v>0</v>
      </c>
      <c r="S51" s="800"/>
    </row>
    <row r="52" spans="1:19" ht="12.75">
      <c r="A52" t="s">
        <v>342</v>
      </c>
      <c r="B52" s="765" t="s">
        <v>177</v>
      </c>
      <c r="C52" s="762">
        <f>4337.84+1156.22</f>
        <v>5494.06</v>
      </c>
      <c r="D52" s="763">
        <f>+'[1]TB03-31-04(Final)'!Z911</f>
        <v>4994.889999999999</v>
      </c>
      <c r="E52" s="763">
        <f>+'[1]TB03-31-04(Final)'!Z912-D52</f>
        <v>35138.3</v>
      </c>
      <c r="F52" s="776">
        <f>SUM(D52:E52)</f>
        <v>40133.19</v>
      </c>
      <c r="G52" s="777"/>
      <c r="H52" s="777"/>
      <c r="I52" s="778"/>
      <c r="J52" s="787">
        <f>3829.73+1090.47</f>
        <v>4920.2</v>
      </c>
      <c r="K52" s="785">
        <f>SUM('[5]TB09-30-02(Final)'!$E$814:$E$823)-J52</f>
        <v>42403.07000000001</v>
      </c>
      <c r="L52" s="776">
        <f t="shared" si="2"/>
        <v>47323.270000000004</v>
      </c>
      <c r="Q52" s="759">
        <f t="shared" si="1"/>
        <v>94646.54000000001</v>
      </c>
      <c r="R52" s="765">
        <f t="shared" si="3"/>
        <v>-7190.080000000002</v>
      </c>
      <c r="S52" s="800">
        <f>R52/L52</f>
        <v>-0.15193540091375768</v>
      </c>
    </row>
    <row r="53" spans="2:19" ht="12.75">
      <c r="B53" s="765"/>
      <c r="C53" s="762"/>
      <c r="D53" s="763"/>
      <c r="E53" s="763"/>
      <c r="F53" s="776"/>
      <c r="G53" s="777"/>
      <c r="H53" s="777"/>
      <c r="I53" s="778"/>
      <c r="J53" s="787"/>
      <c r="L53" s="776">
        <f t="shared" si="2"/>
        <v>0</v>
      </c>
      <c r="Q53" s="759">
        <f t="shared" si="1"/>
        <v>0</v>
      </c>
      <c r="R53" s="765">
        <f t="shared" si="3"/>
        <v>0</v>
      </c>
      <c r="S53" s="800"/>
    </row>
    <row r="54" spans="1:20" ht="12.75">
      <c r="A54" t="s">
        <v>107</v>
      </c>
      <c r="B54" s="765" t="s">
        <v>26</v>
      </c>
      <c r="C54" s="762">
        <v>767.76</v>
      </c>
      <c r="D54" s="763">
        <f>+'[1]TB03-31-04(Final)'!Z781</f>
        <v>399.46</v>
      </c>
      <c r="E54" s="763">
        <f>+'[1]TB03-31-04(Final)'!Z784-D54</f>
        <v>17859.89</v>
      </c>
      <c r="F54" s="776">
        <f>SUM(D54:E54)</f>
        <v>18259.35</v>
      </c>
      <c r="G54" s="777"/>
      <c r="H54" s="777"/>
      <c r="I54" s="778"/>
      <c r="J54" s="787">
        <f>936.75+468.71+149.88</f>
        <v>1555.3400000000001</v>
      </c>
      <c r="K54" s="785">
        <f>SUM('[5]TB09-30-02(Final)'!$E$686:$E$703)-J54</f>
        <v>10897.34</v>
      </c>
      <c r="L54" s="776">
        <f t="shared" si="2"/>
        <v>12452.68</v>
      </c>
      <c r="Q54" s="759">
        <f t="shared" si="1"/>
        <v>24905.36</v>
      </c>
      <c r="R54" s="765">
        <f t="shared" si="3"/>
        <v>5806.669999999998</v>
      </c>
      <c r="S54" s="800">
        <f>R54/L54</f>
        <v>0.4662988208160812</v>
      </c>
      <c r="T54" t="s">
        <v>132</v>
      </c>
    </row>
    <row r="55" spans="2:19" ht="12.75">
      <c r="B55" s="749"/>
      <c r="C55" s="762"/>
      <c r="D55" s="750"/>
      <c r="E55" s="750"/>
      <c r="G55" s="750"/>
      <c r="H55" s="750"/>
      <c r="I55" s="376"/>
      <c r="R55" s="786"/>
      <c r="S55" s="805"/>
    </row>
    <row r="56" spans="2:19" ht="12.75">
      <c r="B56" s="749"/>
      <c r="C56" s="762"/>
      <c r="D56" s="750"/>
      <c r="E56" s="750"/>
      <c r="F56" s="758"/>
      <c r="G56" s="754"/>
      <c r="H56" s="754"/>
      <c r="I56" s="782"/>
      <c r="J56" s="812"/>
      <c r="K56" s="788"/>
      <c r="L56" s="845"/>
      <c r="M56" s="784"/>
      <c r="N56" s="784"/>
      <c r="O56" s="784"/>
      <c r="P56" s="784"/>
      <c r="Q56" s="784"/>
      <c r="R56" s="845"/>
      <c r="S56" s="806"/>
    </row>
    <row r="57" spans="2:19" ht="12.75">
      <c r="B57" s="61" t="s">
        <v>126</v>
      </c>
      <c r="C57" s="755"/>
      <c r="D57" s="754"/>
      <c r="E57" s="754"/>
      <c r="F57" s="797">
        <f>SUM(F15:F56)</f>
        <v>1672692.2500000002</v>
      </c>
      <c r="G57" s="843"/>
      <c r="H57" s="843"/>
      <c r="I57" s="843"/>
      <c r="J57" s="789"/>
      <c r="K57" s="844"/>
      <c r="L57" s="797">
        <f>SUM(L15:L56)</f>
        <v>1357795.3799999997</v>
      </c>
      <c r="M57" s="843"/>
      <c r="N57" s="843"/>
      <c r="O57" s="843"/>
      <c r="P57" s="843"/>
      <c r="Q57" s="843"/>
      <c r="R57" s="797">
        <f>+F57-L57</f>
        <v>314896.8700000006</v>
      </c>
      <c r="S57" s="800">
        <f>R57/L57</f>
        <v>0.23191776510537299</v>
      </c>
    </row>
    <row r="58" spans="1:19" s="747" customFormat="1" ht="12.75">
      <c r="A58" s="835" t="s">
        <v>108</v>
      </c>
      <c r="B58" s="836" t="s">
        <v>118</v>
      </c>
      <c r="C58" s="837">
        <f>SUM(C25:C57)</f>
        <v>108411.12999999999</v>
      </c>
      <c r="D58" s="837">
        <f>SUM(D11:D57)-1</f>
        <v>4566841.06</v>
      </c>
      <c r="E58" s="837">
        <f>SUM(E11:E54)</f>
        <v>1544594.02</v>
      </c>
      <c r="F58" s="837">
        <f>SUM(F11:F55)</f>
        <v>6111436.079999999</v>
      </c>
      <c r="G58" s="838"/>
      <c r="H58" s="838"/>
      <c r="I58" s="839"/>
      <c r="J58" s="840">
        <f>SUM(J11:J57)</f>
        <v>4077227.4899999998</v>
      </c>
      <c r="K58" s="841">
        <f>SUM(K10:K57)</f>
        <v>1257968.2800000003</v>
      </c>
      <c r="L58" s="837">
        <f>SUM(L10:L55)</f>
        <v>5335195.77</v>
      </c>
      <c r="M58" s="835"/>
      <c r="N58" s="835"/>
      <c r="O58" s="835"/>
      <c r="P58" s="835"/>
      <c r="Q58" s="835"/>
      <c r="R58" s="837">
        <f>+F58-L58</f>
        <v>776240.3099999996</v>
      </c>
      <c r="S58" s="842">
        <f>R58/L58</f>
        <v>0.14549425053244103</v>
      </c>
    </row>
    <row r="59" spans="1:20" ht="12.75">
      <c r="A59" t="s">
        <v>109</v>
      </c>
      <c r="B59" s="765" t="s">
        <v>178</v>
      </c>
      <c r="C59" s="763"/>
      <c r="D59" s="776"/>
      <c r="E59" s="776">
        <f>+'[1]TB03-31-04(Final)'!E644</f>
        <v>22313.94</v>
      </c>
      <c r="F59" s="776">
        <f>SUM(D59:E59)</f>
        <v>22313.94</v>
      </c>
      <c r="G59" s="777"/>
      <c r="H59" s="777"/>
      <c r="I59" s="778"/>
      <c r="K59" s="785">
        <f>SUM('[5]TB09-30-02(Final)'!$E$562)-J59</f>
        <v>11580</v>
      </c>
      <c r="L59" s="776">
        <f>SUM(J59:K59)</f>
        <v>11580</v>
      </c>
      <c r="R59" s="765">
        <f t="shared" si="3"/>
        <v>10733.939999999999</v>
      </c>
      <c r="S59" s="800">
        <f>R59/L59</f>
        <v>0.9269378238341968</v>
      </c>
      <c r="T59" t="s">
        <v>129</v>
      </c>
    </row>
    <row r="60" spans="2:19" ht="12.75">
      <c r="B60" s="748"/>
      <c r="C60" s="763"/>
      <c r="D60" s="777"/>
      <c r="E60" s="777"/>
      <c r="F60" s="779"/>
      <c r="G60" s="777"/>
      <c r="H60" s="777"/>
      <c r="I60" s="778"/>
      <c r="J60" s="785" t="s">
        <v>94</v>
      </c>
      <c r="L60" s="807"/>
      <c r="R60" s="756">
        <f t="shared" si="3"/>
        <v>0</v>
      </c>
      <c r="S60" s="803"/>
    </row>
    <row r="61" spans="1:19" ht="12.75">
      <c r="A61" t="s">
        <v>110</v>
      </c>
      <c r="B61" s="61" t="s">
        <v>179</v>
      </c>
      <c r="C61" s="766"/>
      <c r="D61" s="777"/>
      <c r="E61" s="777"/>
      <c r="F61" s="807"/>
      <c r="G61" s="808"/>
      <c r="H61" s="808"/>
      <c r="I61" s="809"/>
      <c r="L61" s="807"/>
      <c r="R61" s="756">
        <f t="shared" si="3"/>
        <v>0</v>
      </c>
      <c r="S61" s="803"/>
    </row>
    <row r="62" spans="2:19" ht="12.75">
      <c r="B62" s="763" t="s">
        <v>180</v>
      </c>
      <c r="C62" s="763"/>
      <c r="D62" s="778">
        <f>+'[1]TB03-31-04(Final)'!Z790</f>
        <v>289.58</v>
      </c>
      <c r="E62" s="779">
        <v>0</v>
      </c>
      <c r="F62" s="807">
        <f>SUM(D62:E62)</f>
        <v>289.58</v>
      </c>
      <c r="G62" s="808"/>
      <c r="H62" s="808"/>
      <c r="I62" s="809"/>
      <c r="L62" s="807"/>
      <c r="R62" s="756">
        <f t="shared" si="3"/>
        <v>289.58</v>
      </c>
      <c r="S62" s="803"/>
    </row>
    <row r="63" spans="2:19" ht="12.75">
      <c r="B63" s="763" t="s">
        <v>181</v>
      </c>
      <c r="C63" s="763"/>
      <c r="D63" s="778" t="e">
        <f>+'[1]TB03-31-04(Final)'!D991</f>
        <v>#REF!</v>
      </c>
      <c r="E63" s="778">
        <f>+'[1]TB03-31-04(Final)'!E994</f>
        <v>0</v>
      </c>
      <c r="F63" s="807" t="e">
        <f>SUM(D63:E63)</f>
        <v>#REF!</v>
      </c>
      <c r="G63" s="808"/>
      <c r="H63" s="808"/>
      <c r="I63" s="809"/>
      <c r="L63" s="807"/>
      <c r="R63" s="756" t="e">
        <f t="shared" si="3"/>
        <v>#REF!</v>
      </c>
      <c r="S63" s="803"/>
    </row>
    <row r="64" spans="2:20" ht="12.75">
      <c r="B64" s="763" t="s">
        <v>186</v>
      </c>
      <c r="C64" s="764">
        <f>209.55+403.86+1554.27</f>
        <v>2167.6800000000003</v>
      </c>
      <c r="D64" s="776">
        <f>+'[1]TB03-31-04(Final)'!Z830</f>
        <v>6929.51</v>
      </c>
      <c r="E64" s="776">
        <f>+'[1]TB03-31-04(Final)'!Z831-D64</f>
        <v>20592.989999999998</v>
      </c>
      <c r="F64" s="776">
        <f>SUM(D64:E64)</f>
        <v>27522.5</v>
      </c>
      <c r="G64" s="777"/>
      <c r="H64" s="777"/>
      <c r="I64" s="778"/>
      <c r="J64" s="785">
        <f>-475.32+120-425.35</f>
        <v>-780.6700000000001</v>
      </c>
      <c r="K64" s="785">
        <f>SUM('[5]TB09-30-02(Final)'!$E$710:$E$741)-J64</f>
        <v>1693.6599999999994</v>
      </c>
      <c r="L64" s="776">
        <f>SUM(J64:K64)</f>
        <v>912.9899999999993</v>
      </c>
      <c r="R64" s="765">
        <f t="shared" si="3"/>
        <v>26609.510000000002</v>
      </c>
      <c r="S64" s="800">
        <f>R64/L64</f>
        <v>29.145456138621476</v>
      </c>
      <c r="T64" t="s">
        <v>128</v>
      </c>
    </row>
    <row r="65" spans="2:19" ht="12.75">
      <c r="B65" s="763" t="s">
        <v>237</v>
      </c>
      <c r="C65" s="767">
        <f>712.12-2.22-102</f>
        <v>607.9</v>
      </c>
      <c r="D65" s="780">
        <f>+'[1]TB03-31-04(Final)'!Z1001-102</f>
        <v>700.17</v>
      </c>
      <c r="E65" s="780">
        <f>+'[1]TB03-31-04(Final)'!Z1003+102</f>
        <v>13523.92</v>
      </c>
      <c r="F65" s="780">
        <f>SUM(D65:E65)</f>
        <v>14224.09</v>
      </c>
      <c r="G65" s="777"/>
      <c r="H65" s="777"/>
      <c r="I65" s="778"/>
      <c r="J65" s="788">
        <f>913.62+176.46+56.22</f>
        <v>1146.3</v>
      </c>
      <c r="K65" s="788">
        <f>(7314.87-2304.97)-J65</f>
        <v>3863.5999999999995</v>
      </c>
      <c r="L65" s="780">
        <f>SUM(J65:K65)</f>
        <v>5009.9</v>
      </c>
      <c r="R65" s="772">
        <f t="shared" si="3"/>
        <v>9214.19</v>
      </c>
      <c r="S65" s="804">
        <f>R65/L65</f>
        <v>1.839196391145532</v>
      </c>
    </row>
    <row r="66" spans="2:19" ht="13.5" thickBot="1">
      <c r="B66" s="61" t="s">
        <v>123</v>
      </c>
      <c r="C66" s="821"/>
      <c r="D66" s="765"/>
      <c r="E66" s="765"/>
      <c r="F66" s="822">
        <f>+F57+F59+F64+F65</f>
        <v>1736752.7800000003</v>
      </c>
      <c r="G66" s="823"/>
      <c r="H66" s="823"/>
      <c r="I66" s="824"/>
      <c r="J66" s="825"/>
      <c r="K66" s="825"/>
      <c r="L66" s="822">
        <f>+L57+L59+L64+L65</f>
        <v>1375298.2699999996</v>
      </c>
      <c r="M66" s="814"/>
      <c r="N66" s="814"/>
      <c r="O66" s="814"/>
      <c r="P66" s="814"/>
      <c r="Q66" s="814"/>
      <c r="R66" s="815"/>
      <c r="S66" s="816"/>
    </row>
    <row r="67" spans="2:19" ht="13.5" thickTop="1">
      <c r="B67" s="76" t="s">
        <v>125</v>
      </c>
      <c r="C67" s="783"/>
      <c r="D67" s="776"/>
      <c r="E67" s="776"/>
      <c r="F67" s="776">
        <v>-111187.2</v>
      </c>
      <c r="G67" s="817"/>
      <c r="H67" s="817"/>
      <c r="I67" s="818"/>
      <c r="J67" s="790"/>
      <c r="K67" s="790"/>
      <c r="L67" s="776">
        <v>-100193</v>
      </c>
      <c r="M67" s="819"/>
      <c r="N67" s="819"/>
      <c r="O67" s="819"/>
      <c r="P67" s="819"/>
      <c r="Q67" s="819"/>
      <c r="R67" s="795"/>
      <c r="S67" s="820"/>
    </row>
    <row r="68" spans="2:19" s="826" customFormat="1" ht="13.5" thickBot="1">
      <c r="B68" s="61" t="s">
        <v>124</v>
      </c>
      <c r="C68" s="821"/>
      <c r="D68" s="765"/>
      <c r="E68" s="765"/>
      <c r="F68" s="831">
        <f>+F66+F67</f>
        <v>1625565.5800000003</v>
      </c>
      <c r="G68" s="832"/>
      <c r="H68" s="832"/>
      <c r="I68" s="832"/>
      <c r="J68" s="833"/>
      <c r="K68" s="833"/>
      <c r="L68" s="831">
        <f>+L66+L67</f>
        <v>1275105.2699999996</v>
      </c>
      <c r="M68" s="827"/>
      <c r="N68" s="827"/>
      <c r="O68" s="827"/>
      <c r="P68" s="827"/>
      <c r="Q68" s="827"/>
      <c r="R68" s="831">
        <f>+F68-L68</f>
        <v>350460.31000000075</v>
      </c>
      <c r="S68" s="834">
        <f>R68/L68</f>
        <v>0.2748481386168225</v>
      </c>
    </row>
    <row r="69" spans="2:19" s="826" customFormat="1" ht="12.75">
      <c r="B69" s="61"/>
      <c r="C69" s="821"/>
      <c r="D69" s="765"/>
      <c r="E69" s="765"/>
      <c r="F69" s="828"/>
      <c r="G69" s="829"/>
      <c r="H69" s="829"/>
      <c r="I69" s="829"/>
      <c r="J69" s="830"/>
      <c r="K69" s="830"/>
      <c r="L69" s="828"/>
      <c r="M69" s="827"/>
      <c r="N69" s="827"/>
      <c r="O69" s="827"/>
      <c r="P69" s="827"/>
      <c r="Q69" s="827"/>
      <c r="R69" s="795"/>
      <c r="S69" s="820"/>
    </row>
    <row r="70" spans="1:19" s="747" customFormat="1" ht="12.75">
      <c r="A70" s="747" t="s">
        <v>111</v>
      </c>
      <c r="B70" s="61" t="s">
        <v>182</v>
      </c>
      <c r="C70" s="765">
        <f>+C58+C64+C65</f>
        <v>111186.70999999999</v>
      </c>
      <c r="D70" s="753" t="e">
        <f>SUM(D58:D65)+1</f>
        <v>#REF!</v>
      </c>
      <c r="E70" s="753">
        <f>SUM(E58:E65)</f>
        <v>1601024.8699999999</v>
      </c>
      <c r="F70" s="753" t="e">
        <f>SUM(F58:F65)</f>
        <v>#REF!</v>
      </c>
      <c r="G70" s="751"/>
      <c r="H70" s="751"/>
      <c r="I70" s="781"/>
      <c r="J70" s="791">
        <f>SUM(J58:J65)</f>
        <v>4077593.1199999996</v>
      </c>
      <c r="K70" s="789">
        <f>SUM(K58:K65)</f>
        <v>1275105.5400000003</v>
      </c>
      <c r="L70" s="753">
        <f>SUM(L58:L65)</f>
        <v>5352698.66</v>
      </c>
      <c r="S70" s="802"/>
    </row>
    <row r="71" spans="2:18" ht="12.75">
      <c r="B71" s="771" t="s">
        <v>28</v>
      </c>
      <c r="C71" s="380">
        <v>111187</v>
      </c>
      <c r="D71" s="772">
        <v>3400757</v>
      </c>
      <c r="E71" s="772">
        <v>1600894</v>
      </c>
      <c r="F71" s="772">
        <v>5001652</v>
      </c>
      <c r="G71" s="754"/>
      <c r="H71" s="754"/>
      <c r="I71" s="782"/>
      <c r="J71" s="790">
        <v>4077593</v>
      </c>
      <c r="K71" s="785">
        <f>1263526+11580</f>
        <v>1275106</v>
      </c>
      <c r="L71" s="772">
        <f>SUM(J71:K71)</f>
        <v>5352699</v>
      </c>
      <c r="R71" s="798"/>
    </row>
    <row r="72" spans="2:19" ht="13.5" thickBot="1">
      <c r="B72" s="813" t="s">
        <v>30</v>
      </c>
      <c r="C72" s="380">
        <f>+C70-C71</f>
        <v>-0.2900000000081491</v>
      </c>
      <c r="D72" s="773" t="e">
        <f>+D70-D71</f>
        <v>#REF!</v>
      </c>
      <c r="E72" s="773">
        <f>+E70-E71</f>
        <v>130.86999999987893</v>
      </c>
      <c r="F72" s="773" t="e">
        <f>+F70-F71</f>
        <v>#REF!</v>
      </c>
      <c r="G72" s="750"/>
      <c r="H72" s="750"/>
      <c r="I72" s="750"/>
      <c r="J72" s="792">
        <f>+J70-J71</f>
        <v>0.11999999964609742</v>
      </c>
      <c r="K72" s="792">
        <f>+K70-K71</f>
        <v>-0.45999999972991645</v>
      </c>
      <c r="L72" s="773">
        <f>+L70-L71</f>
        <v>-0.3399999998509884</v>
      </c>
      <c r="R72" s="799"/>
      <c r="S72" s="810"/>
    </row>
    <row r="73" spans="1:18" ht="13.5" thickTop="1">
      <c r="A73" t="s">
        <v>112</v>
      </c>
      <c r="B73" s="765" t="s">
        <v>183</v>
      </c>
      <c r="D73" s="765">
        <v>0</v>
      </c>
      <c r="E73" s="765">
        <v>305438</v>
      </c>
      <c r="F73" s="765">
        <f>SUM(D73:E73)</f>
        <v>305438</v>
      </c>
      <c r="G73" s="750"/>
      <c r="H73" s="750"/>
      <c r="I73" s="750"/>
      <c r="K73" s="785">
        <v>287179</v>
      </c>
      <c r="L73" s="765">
        <f>SUM(J73:K73)</f>
        <v>287179</v>
      </c>
      <c r="R73" s="747"/>
    </row>
    <row r="74" spans="1:18" ht="12.75">
      <c r="A74" t="s">
        <v>113</v>
      </c>
      <c r="B74" s="765" t="s">
        <v>27</v>
      </c>
      <c r="C74" s="755"/>
      <c r="D74" s="772">
        <v>0</v>
      </c>
      <c r="E74" s="772">
        <v>309881</v>
      </c>
      <c r="F74" s="772">
        <f>SUM(D74:E74)</f>
        <v>309881</v>
      </c>
      <c r="G74" s="750"/>
      <c r="H74" s="750"/>
      <c r="I74" s="750"/>
      <c r="J74" s="788"/>
      <c r="K74" s="785">
        <v>453634</v>
      </c>
      <c r="L74" s="772">
        <f>SUM(J74:K74)</f>
        <v>453634</v>
      </c>
      <c r="R74" s="747"/>
    </row>
    <row r="75" spans="2:19" ht="12.75">
      <c r="B75" s="765" t="s">
        <v>29</v>
      </c>
      <c r="D75" s="376">
        <f>+D73-D74</f>
        <v>0</v>
      </c>
      <c r="E75" s="765">
        <f>-E73+E74</f>
        <v>4443</v>
      </c>
      <c r="F75" s="765">
        <f>-F73+F74</f>
        <v>4443</v>
      </c>
      <c r="G75" s="750"/>
      <c r="H75" s="750"/>
      <c r="I75" s="750"/>
      <c r="J75" s="785">
        <f>SUM(J73:J74)</f>
        <v>0</v>
      </c>
      <c r="K75" s="793">
        <f>-K73+K74</f>
        <v>166455</v>
      </c>
      <c r="L75" s="765">
        <f>SUM(J75:K75)</f>
        <v>166455</v>
      </c>
      <c r="R75" s="794"/>
      <c r="S75" s="811"/>
    </row>
    <row r="76" spans="1:19" ht="13.5" thickBot="1">
      <c r="A76" t="s">
        <v>114</v>
      </c>
      <c r="B76" s="61" t="s">
        <v>184</v>
      </c>
      <c r="C76" s="761">
        <f>+C70-C73+C74</f>
        <v>111186.70999999999</v>
      </c>
      <c r="D76" s="761" t="e">
        <f>+D70-D73+D74</f>
        <v>#REF!</v>
      </c>
      <c r="E76" s="761">
        <f>+E70-E73+E74</f>
        <v>1605467.8699999999</v>
      </c>
      <c r="F76" s="850">
        <f>+F71+F75</f>
        <v>5006095</v>
      </c>
      <c r="G76" s="851"/>
      <c r="H76" s="851"/>
      <c r="I76" s="851"/>
      <c r="J76" s="852">
        <f>+J70-J73+J74</f>
        <v>4077593.1199999996</v>
      </c>
      <c r="K76" s="852">
        <f>+K70-K73+K74</f>
        <v>1441560.5400000003</v>
      </c>
      <c r="L76" s="850">
        <f>+L70-L73+L74</f>
        <v>5519153.66</v>
      </c>
      <c r="R76" s="799"/>
      <c r="S76" s="810"/>
    </row>
    <row r="77" spans="2:18" ht="13.5" thickTop="1">
      <c r="B77" s="771"/>
      <c r="E77" s="750">
        <v>1600894</v>
      </c>
      <c r="F77" s="756" t="e">
        <f>+F70-F73+F74</f>
        <v>#REF!</v>
      </c>
      <c r="J77" s="787"/>
      <c r="K77" s="785">
        <v>1263526</v>
      </c>
      <c r="L77" s="756">
        <f>+L70-L73+L74</f>
        <v>5519153.66</v>
      </c>
      <c r="R77" s="747"/>
    </row>
    <row r="78" spans="5:12" ht="12.75">
      <c r="E78" s="775">
        <f>+E76-E77</f>
        <v>4573.869999999879</v>
      </c>
      <c r="L78" s="756"/>
    </row>
    <row r="79" spans="2:11" ht="12.75">
      <c r="B79" s="771"/>
      <c r="E79" s="376"/>
      <c r="K79" s="785">
        <f>+K75-K78</f>
        <v>166455</v>
      </c>
    </row>
    <row r="80" ht="12.75">
      <c r="E80" s="775"/>
    </row>
    <row r="81" ht="12.75">
      <c r="E81" s="376"/>
    </row>
    <row r="82" spans="2:5" ht="12.75">
      <c r="B82" s="771"/>
      <c r="E82" s="775"/>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E49"/>
  <sheetViews>
    <sheetView tabSelected="1" zoomScale="75" zoomScaleNormal="75" workbookViewId="0" topLeftCell="A1">
      <selection activeCell="C24" sqref="C24"/>
    </sheetView>
  </sheetViews>
  <sheetFormatPr defaultColWidth="9.140625" defaultRowHeight="12.75"/>
  <cols>
    <col min="1" max="1" width="54.7109375" style="15" customWidth="1"/>
    <col min="2" max="4" width="17.00390625" style="541" customWidth="1"/>
    <col min="5" max="5" width="19.57421875" style="541" bestFit="1" customWidth="1"/>
    <col min="6" max="16384" width="9.140625" style="15" customWidth="1"/>
  </cols>
  <sheetData>
    <row r="1" spans="1:5" s="12" customFormat="1" ht="25.5">
      <c r="A1" s="934" t="s">
        <v>260</v>
      </c>
      <c r="B1" s="934"/>
      <c r="C1" s="934"/>
      <c r="D1" s="934"/>
      <c r="E1" s="934"/>
    </row>
    <row r="2" spans="1:5" s="12" customFormat="1" ht="19.5">
      <c r="A2" s="929"/>
      <c r="B2" s="929"/>
      <c r="C2" s="929"/>
      <c r="D2" s="929"/>
      <c r="E2" s="929"/>
    </row>
    <row r="3" spans="1:5" s="13" customFormat="1" ht="18.75">
      <c r="A3" s="929" t="s">
        <v>213</v>
      </c>
      <c r="B3" s="929"/>
      <c r="C3" s="929"/>
      <c r="D3" s="929"/>
      <c r="E3" s="929"/>
    </row>
    <row r="4" spans="1:5" s="13" customFormat="1" ht="18.75">
      <c r="A4" s="935" t="s">
        <v>8</v>
      </c>
      <c r="B4" s="935"/>
      <c r="C4" s="935"/>
      <c r="D4" s="935"/>
      <c r="E4" s="935"/>
    </row>
    <row r="5" spans="1:5" s="13" customFormat="1" ht="16.5">
      <c r="A5" s="887"/>
      <c r="B5" s="887"/>
      <c r="C5" s="887"/>
      <c r="D5" s="887"/>
      <c r="E5" s="887"/>
    </row>
    <row r="6" spans="1:5" ht="45" customHeight="1">
      <c r="A6" s="857"/>
      <c r="B6" s="886" t="s">
        <v>214</v>
      </c>
      <c r="C6" s="886" t="s">
        <v>215</v>
      </c>
      <c r="D6" s="886" t="s">
        <v>216</v>
      </c>
      <c r="E6" s="886" t="s">
        <v>217</v>
      </c>
    </row>
    <row r="7" spans="1:5" ht="19.5" customHeight="1">
      <c r="A7" s="858" t="s">
        <v>262</v>
      </c>
      <c r="B7" s="536"/>
      <c r="C7" s="536"/>
      <c r="D7" s="536"/>
      <c r="E7" s="536"/>
    </row>
    <row r="8" spans="1:5" ht="15">
      <c r="A8" s="859" t="s">
        <v>219</v>
      </c>
      <c r="B8" s="537"/>
      <c r="C8" s="537"/>
      <c r="D8" s="537"/>
      <c r="E8" s="537"/>
    </row>
    <row r="9" spans="1:5" ht="15">
      <c r="A9" s="859" t="s">
        <v>220</v>
      </c>
      <c r="B9" s="537">
        <f>+'[1]TB03-31-04(Final)'!G16+'[1]TB03-31-04(Final)'!G23+1</f>
        <v>9850901.019999998</v>
      </c>
      <c r="C9" s="544">
        <v>0</v>
      </c>
      <c r="D9" s="544">
        <v>0</v>
      </c>
      <c r="E9" s="537">
        <f>SUM(B9:D9)</f>
        <v>9850901.019999998</v>
      </c>
    </row>
    <row r="10" spans="1:5" ht="15">
      <c r="A10" s="859" t="s">
        <v>263</v>
      </c>
      <c r="B10" s="545">
        <v>0</v>
      </c>
      <c r="C10" s="545">
        <f>+'[1]TB03-31-04(Final)'!G25</f>
        <v>10038.47</v>
      </c>
      <c r="D10" s="545">
        <v>0</v>
      </c>
      <c r="E10" s="545">
        <f>SUM(B10:D10)</f>
        <v>10038.47</v>
      </c>
    </row>
    <row r="11" spans="1:5" ht="14.25" customHeight="1">
      <c r="A11" s="859" t="s">
        <v>264</v>
      </c>
      <c r="B11" s="545">
        <f>+'[1]TB03-31-04(Final)'!E1029</f>
        <v>172930.65000000002</v>
      </c>
      <c r="C11" s="545">
        <v>0</v>
      </c>
      <c r="D11" s="545">
        <f>B11</f>
        <v>172930.65000000002</v>
      </c>
      <c r="E11" s="545">
        <f>+B11-D11</f>
        <v>0</v>
      </c>
    </row>
    <row r="12" spans="1:5" ht="14.25" customHeight="1">
      <c r="A12" s="859" t="s">
        <v>266</v>
      </c>
      <c r="B12" s="545">
        <f>+'[1]TB03-31-04(Final)'!G1033</f>
        <v>52339.42</v>
      </c>
      <c r="C12" s="545">
        <v>0</v>
      </c>
      <c r="D12" s="545">
        <v>0</v>
      </c>
      <c r="E12" s="545">
        <f>+B12-D12</f>
        <v>52339.42</v>
      </c>
    </row>
    <row r="13" spans="1:5" ht="15.75" customHeight="1">
      <c r="A13" s="859" t="s">
        <v>267</v>
      </c>
      <c r="B13" s="545">
        <f>+'[1]TB03-31-04(Final)'!E1038</f>
        <v>46955.560000000005</v>
      </c>
      <c r="C13" s="545">
        <v>0</v>
      </c>
      <c r="D13" s="545">
        <f>B13</f>
        <v>46955.560000000005</v>
      </c>
      <c r="E13" s="545">
        <f>+B13-D13</f>
        <v>0</v>
      </c>
    </row>
    <row r="14" spans="1:5" ht="15" hidden="1">
      <c r="A14" s="391" t="s">
        <v>390</v>
      </c>
      <c r="B14" s="545">
        <v>0</v>
      </c>
      <c r="C14" s="545">
        <v>0</v>
      </c>
      <c r="D14" s="545">
        <v>0</v>
      </c>
      <c r="E14" s="545">
        <f>+B14-D14</f>
        <v>0</v>
      </c>
    </row>
    <row r="15" spans="1:5" ht="15" hidden="1">
      <c r="A15" s="19" t="s">
        <v>138</v>
      </c>
      <c r="B15" s="706">
        <v>0</v>
      </c>
      <c r="C15" s="706">
        <v>0</v>
      </c>
      <c r="D15" s="706">
        <f>B15</f>
        <v>0</v>
      </c>
      <c r="E15" s="706">
        <f>+B15-D15</f>
        <v>0</v>
      </c>
    </row>
    <row r="16" spans="1:5" ht="15" hidden="1">
      <c r="A16" s="391" t="s">
        <v>463</v>
      </c>
      <c r="B16" s="546">
        <f>+'[1]TB03-31-04(Final)'!F1024</f>
        <v>0</v>
      </c>
      <c r="C16" s="545">
        <v>0</v>
      </c>
      <c r="D16" s="545">
        <v>0</v>
      </c>
      <c r="E16" s="545">
        <f>+B16-C16-D16</f>
        <v>0</v>
      </c>
    </row>
    <row r="17" spans="1:5" ht="15">
      <c r="A17" s="860" t="s">
        <v>268</v>
      </c>
      <c r="B17" s="538">
        <f>SUM(B9:B16)</f>
        <v>10123126.649999999</v>
      </c>
      <c r="C17" s="538">
        <f>SUM(C9:C16)</f>
        <v>10038.47</v>
      </c>
      <c r="D17" s="883">
        <f>SUM(D9:D16)+1</f>
        <v>219887.21000000002</v>
      </c>
      <c r="E17" s="538">
        <f>SUM(E9:E16)-1</f>
        <v>9913277.909999998</v>
      </c>
    </row>
    <row r="18" spans="1:5" ht="15">
      <c r="A18" s="861"/>
      <c r="B18" s="539"/>
      <c r="C18" s="539"/>
      <c r="D18" s="539"/>
      <c r="E18" s="539"/>
    </row>
    <row r="19" spans="1:5" ht="15">
      <c r="A19" s="862" t="s">
        <v>269</v>
      </c>
      <c r="B19" s="539"/>
      <c r="C19" s="539"/>
      <c r="D19" s="539"/>
      <c r="E19" s="539"/>
    </row>
    <row r="20" spans="1:5" ht="15">
      <c r="A20" s="861" t="s">
        <v>270</v>
      </c>
      <c r="B20" s="539"/>
      <c r="C20" s="539"/>
      <c r="D20" s="539" t="s">
        <v>270</v>
      </c>
      <c r="E20" s="539"/>
    </row>
    <row r="21" spans="1:5" ht="15">
      <c r="A21" s="863" t="s">
        <v>449</v>
      </c>
      <c r="B21" s="539"/>
      <c r="C21" s="540"/>
      <c r="D21" s="548">
        <f>-'[1]TB03-31-04(Final)'!G258+1</f>
        <v>1290907</v>
      </c>
      <c r="E21" s="539"/>
    </row>
    <row r="22" spans="1:5" ht="15">
      <c r="A22" s="863" t="s">
        <v>450</v>
      </c>
      <c r="B22" s="539"/>
      <c r="C22" s="540"/>
      <c r="D22" s="548">
        <f>-'[1]TB03-31-04(Final)'!G260+1</f>
        <v>505031.11</v>
      </c>
      <c r="E22" s="539"/>
    </row>
    <row r="23" spans="1:5" ht="15">
      <c r="A23" s="863" t="s">
        <v>71</v>
      </c>
      <c r="B23" s="539"/>
      <c r="C23" s="540"/>
      <c r="D23" s="548">
        <f>-'[1]TB03-31-04(Final)'!G256</f>
        <v>294617.31</v>
      </c>
      <c r="E23" s="539"/>
    </row>
    <row r="24" spans="1:5" ht="15">
      <c r="A24" s="863" t="s">
        <v>16</v>
      </c>
      <c r="B24" s="539"/>
      <c r="C24" s="540"/>
      <c r="D24" s="548">
        <f>-'[1]TB03-31-04(Final)'!G267</f>
        <v>446013</v>
      </c>
      <c r="E24" s="539"/>
    </row>
    <row r="25" spans="1:5" ht="15">
      <c r="A25" s="863" t="s">
        <v>77</v>
      </c>
      <c r="B25" s="539"/>
      <c r="C25" s="617"/>
      <c r="D25" s="548">
        <f>-'[1]TB03-31-04(Final)'!G272-2</f>
        <v>263741.5</v>
      </c>
      <c r="E25" s="539"/>
    </row>
    <row r="26" spans="1:5" ht="15">
      <c r="A26" s="863" t="s">
        <v>460</v>
      </c>
      <c r="B26" s="539"/>
      <c r="C26" s="617"/>
      <c r="D26" s="548">
        <f>-'[1]TB03-31-04(Final)'!G207</f>
        <v>20527.9</v>
      </c>
      <c r="E26" s="539"/>
    </row>
    <row r="27" spans="1:5" ht="15">
      <c r="A27" s="863" t="s">
        <v>78</v>
      </c>
      <c r="B27" s="539"/>
      <c r="C27" s="540"/>
      <c r="D27" s="547">
        <f>-'[1]TB03-31-04(Final)'!G203</f>
        <v>54430.45</v>
      </c>
      <c r="E27" s="540"/>
    </row>
    <row r="28" spans="1:5" ht="15">
      <c r="A28" s="863"/>
      <c r="B28" s="725"/>
      <c r="C28" s="539"/>
      <c r="D28" s="539"/>
      <c r="E28" s="548"/>
    </row>
    <row r="29" spans="1:5" ht="15">
      <c r="A29" s="860" t="s">
        <v>271</v>
      </c>
      <c r="B29" s="539"/>
      <c r="C29" s="539"/>
      <c r="D29" s="539"/>
      <c r="E29" s="549">
        <f>SUM(D21:D28)</f>
        <v>2875268.27</v>
      </c>
    </row>
    <row r="30" spans="1:5" ht="15">
      <c r="A30" s="861"/>
      <c r="B30" s="539"/>
      <c r="C30" s="539"/>
      <c r="D30" s="539"/>
      <c r="E30" s="539"/>
    </row>
    <row r="31" spans="1:5" ht="15">
      <c r="A31" s="862" t="s">
        <v>272</v>
      </c>
      <c r="B31" s="539"/>
      <c r="C31" s="539"/>
      <c r="D31" s="539"/>
      <c r="E31" s="539"/>
    </row>
    <row r="32" spans="1:5" ht="15">
      <c r="A32" s="863" t="s">
        <v>273</v>
      </c>
      <c r="B32" s="539"/>
      <c r="C32" s="540"/>
      <c r="D32" s="548">
        <f>-'[1]TB03-31-04(Final)'!G65</f>
        <v>11049613</v>
      </c>
      <c r="E32" s="539"/>
    </row>
    <row r="33" spans="1:5" ht="15">
      <c r="A33" s="863" t="s">
        <v>68</v>
      </c>
      <c r="B33" s="539"/>
      <c r="C33" s="540"/>
      <c r="D33" s="548">
        <f>-'[1]TB03-31-04(Final)'!G104</f>
        <v>6198399.7700000005</v>
      </c>
      <c r="E33" s="539"/>
    </row>
    <row r="34" spans="1:5" ht="15">
      <c r="A34" s="863" t="s">
        <v>67</v>
      </c>
      <c r="B34" s="539"/>
      <c r="C34" s="540"/>
      <c r="D34" s="548">
        <f>-'[1]TB03-31-04(Final)'!G121</f>
        <v>1364184.0999999999</v>
      </c>
      <c r="E34" s="539"/>
    </row>
    <row r="35" spans="1:5" ht="15">
      <c r="A35" s="863" t="s">
        <v>72</v>
      </c>
      <c r="B35" s="539"/>
      <c r="C35" s="540"/>
      <c r="D35" s="548">
        <f>-'[1]TB03-31-04(Final)'!G159</f>
        <v>524501</v>
      </c>
      <c r="E35" s="539"/>
    </row>
    <row r="36" spans="1:5" ht="15">
      <c r="A36" s="863" t="s">
        <v>73</v>
      </c>
      <c r="B36" s="540"/>
      <c r="C36" s="540"/>
      <c r="D36" s="548">
        <f>-'[1]TB03-31-04(Final)'!G193</f>
        <v>226567.97999999998</v>
      </c>
      <c r="E36" s="539"/>
    </row>
    <row r="37" spans="1:5" ht="15">
      <c r="A37" s="863" t="s">
        <v>104</v>
      </c>
      <c r="B37" s="539"/>
      <c r="C37" s="540"/>
      <c r="D37" s="125">
        <f>-'[1]TB03-31-04(Final)'!G217</f>
        <v>330321.9</v>
      </c>
      <c r="E37" s="539"/>
    </row>
    <row r="38" spans="1:5" ht="15" customHeight="1">
      <c r="A38" s="863" t="s">
        <v>98</v>
      </c>
      <c r="B38" s="539"/>
      <c r="C38" s="539"/>
      <c r="D38" s="547">
        <f>-'[1]TB03-31-04(Final)'!G199</f>
        <v>50113.97</v>
      </c>
      <c r="E38" s="539"/>
    </row>
    <row r="39" spans="1:5" ht="15" customHeight="1">
      <c r="A39" s="863"/>
      <c r="B39" s="539"/>
      <c r="C39" s="539"/>
      <c r="D39" s="539"/>
      <c r="E39" s="539"/>
    </row>
    <row r="40" spans="1:5" ht="15" customHeight="1">
      <c r="A40" s="864" t="s">
        <v>391</v>
      </c>
      <c r="B40" s="539"/>
      <c r="C40" s="539"/>
      <c r="D40" s="540"/>
      <c r="E40" s="549">
        <f>SUM(D32:D38)</f>
        <v>19743701.72</v>
      </c>
    </row>
    <row r="41" spans="1:5" ht="13.5" customHeight="1">
      <c r="A41" s="864"/>
      <c r="B41" s="539"/>
      <c r="C41" s="539"/>
      <c r="D41" s="540"/>
      <c r="E41" s="542"/>
    </row>
    <row r="42" spans="1:5" ht="13.5" customHeight="1">
      <c r="A42" s="860" t="s">
        <v>275</v>
      </c>
      <c r="B42" s="539"/>
      <c r="C42" s="539"/>
      <c r="D42" s="540"/>
      <c r="E42" s="550">
        <f>E40+E29</f>
        <v>22618969.99</v>
      </c>
    </row>
    <row r="43" spans="1:5" ht="15">
      <c r="A43" s="861"/>
      <c r="B43" s="539"/>
      <c r="C43" s="539"/>
      <c r="D43" s="540"/>
      <c r="E43" s="539"/>
    </row>
    <row r="44" spans="1:5" ht="15">
      <c r="A44" s="862" t="s">
        <v>276</v>
      </c>
      <c r="B44" s="539"/>
      <c r="C44" s="539"/>
      <c r="D44" s="540"/>
      <c r="E44" s="539"/>
    </row>
    <row r="45" spans="1:5" ht="15">
      <c r="A45" s="863" t="s">
        <v>79</v>
      </c>
      <c r="B45" s="539"/>
      <c r="C45" s="539"/>
      <c r="D45" s="540"/>
      <c r="E45" s="549">
        <f>+E17-E42</f>
        <v>-12705692.08</v>
      </c>
    </row>
    <row r="46" spans="1:5" ht="15">
      <c r="A46" s="861"/>
      <c r="B46" s="540"/>
      <c r="C46" s="540"/>
      <c r="D46" s="540"/>
      <c r="E46" s="539"/>
    </row>
    <row r="47" spans="1:5" ht="15.75" thickBot="1">
      <c r="A47" s="864" t="s">
        <v>277</v>
      </c>
      <c r="B47" s="539"/>
      <c r="C47" s="539"/>
      <c r="D47" s="539"/>
      <c r="E47" s="543">
        <f>E42+E45</f>
        <v>9913277.909999998</v>
      </c>
    </row>
    <row r="48" spans="1:5" ht="15.75" thickTop="1">
      <c r="A48" s="16"/>
      <c r="B48" s="535"/>
      <c r="C48" s="535"/>
      <c r="D48" s="535"/>
      <c r="E48" s="535"/>
    </row>
    <row r="49" spans="1:5" ht="15">
      <c r="A49" s="16"/>
      <c r="E49" s="535"/>
    </row>
  </sheetData>
  <mergeCells count="4">
    <mergeCell ref="A1:E1"/>
    <mergeCell ref="A3:E3"/>
    <mergeCell ref="A4:E4"/>
    <mergeCell ref="A2:E2"/>
  </mergeCells>
  <printOptions horizontalCentered="1"/>
  <pageMargins left="0.25" right="0.25" top="0.75" bottom="0.75" header="0.5" footer="0.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G38"/>
  <sheetViews>
    <sheetView zoomScale="75" zoomScaleNormal="75" workbookViewId="0" topLeftCell="A9">
      <selection activeCell="C36" sqref="A1:G36"/>
    </sheetView>
  </sheetViews>
  <sheetFormatPr defaultColWidth="9.140625" defaultRowHeight="12.75"/>
  <cols>
    <col min="1" max="1" width="67.00390625" style="19" customWidth="1"/>
    <col min="2" max="2" width="19.00390625" style="130" customWidth="1"/>
    <col min="3" max="3" width="18.8515625" style="130" customWidth="1"/>
    <col min="4" max="7" width="0" style="19" hidden="1" customWidth="1"/>
    <col min="8" max="16384" width="9.140625" style="19" customWidth="1"/>
  </cols>
  <sheetData>
    <row r="1" spans="1:7" s="119" customFormat="1" ht="25.5">
      <c r="A1" s="934" t="s">
        <v>260</v>
      </c>
      <c r="B1" s="934"/>
      <c r="C1" s="934"/>
      <c r="D1" s="934"/>
      <c r="E1" s="934"/>
      <c r="F1" s="934"/>
      <c r="G1" s="934"/>
    </row>
    <row r="2" spans="1:3" s="21" customFormat="1" ht="18.75">
      <c r="A2" s="929"/>
      <c r="B2" s="929"/>
      <c r="C2" s="929"/>
    </row>
    <row r="3" spans="1:7" s="22" customFormat="1" ht="18.75">
      <c r="A3" s="910" t="s">
        <v>278</v>
      </c>
      <c r="B3" s="910"/>
      <c r="C3" s="910"/>
      <c r="D3" s="910"/>
      <c r="E3" s="910"/>
      <c r="F3" s="910"/>
      <c r="G3" s="910"/>
    </row>
    <row r="4" spans="1:7" s="22" customFormat="1" ht="18.75">
      <c r="A4" s="910" t="str">
        <f>+'Balance Sheet-1'!A4</f>
        <v>AT MARCH 31, 2004</v>
      </c>
      <c r="B4" s="910"/>
      <c r="C4" s="910"/>
      <c r="D4" s="910"/>
      <c r="E4" s="910"/>
      <c r="F4" s="910"/>
      <c r="G4" s="910"/>
    </row>
    <row r="5" spans="1:3" s="22" customFormat="1" ht="15.75">
      <c r="A5" s="400"/>
      <c r="B5" s="401"/>
      <c r="C5" s="401"/>
    </row>
    <row r="6" spans="1:3" ht="15">
      <c r="A6" s="402"/>
      <c r="B6" s="403"/>
      <c r="C6" s="403"/>
    </row>
    <row r="7" spans="1:3" ht="19.5" customHeight="1">
      <c r="A7" s="391"/>
      <c r="B7" s="408" t="s">
        <v>210</v>
      </c>
      <c r="C7" s="406"/>
    </row>
    <row r="8" spans="1:3" ht="15">
      <c r="A8" s="409"/>
      <c r="B8" s="410"/>
      <c r="C8" s="744"/>
    </row>
    <row r="9" spans="1:3" ht="15">
      <c r="A9" s="407" t="s">
        <v>280</v>
      </c>
      <c r="B9" s="410"/>
      <c r="C9" s="411"/>
    </row>
    <row r="10" spans="1:3" ht="15">
      <c r="A10" s="407"/>
      <c r="B10" s="410"/>
      <c r="C10" s="411"/>
    </row>
    <row r="11" spans="1:3" ht="15">
      <c r="A11" s="391" t="s">
        <v>281</v>
      </c>
      <c r="B11" s="404"/>
      <c r="C11" s="646">
        <f>'Earned Incurred QTD-4'!E16</f>
        <v>5376116</v>
      </c>
    </row>
    <row r="12" spans="1:3" ht="15">
      <c r="A12" s="407"/>
      <c r="B12" s="404"/>
      <c r="C12" s="405"/>
    </row>
    <row r="13" spans="1:3" ht="15">
      <c r="A13" s="407" t="s">
        <v>282</v>
      </c>
      <c r="B13" s="404"/>
      <c r="C13" s="412"/>
    </row>
    <row r="14" spans="1:3" ht="15">
      <c r="A14" s="391" t="s">
        <v>283</v>
      </c>
      <c r="B14" s="130">
        <f>'Earned Incurred QTD-4'!E23</f>
        <v>4105799.2499999986</v>
      </c>
      <c r="C14" s="405"/>
    </row>
    <row r="15" spans="1:3" ht="15">
      <c r="A15" s="391" t="s">
        <v>284</v>
      </c>
      <c r="B15" s="130">
        <f>'Earned Incurred QTD-4'!E30</f>
        <v>474151.85</v>
      </c>
      <c r="C15" s="405"/>
    </row>
    <row r="16" spans="1:3" ht="15">
      <c r="A16" s="391" t="s">
        <v>285</v>
      </c>
      <c r="B16" s="130">
        <f>'Earned Incurred QTD-4'!D38</f>
        <v>521247.75000000006</v>
      </c>
      <c r="C16" s="405"/>
    </row>
    <row r="17" spans="1:3" ht="15">
      <c r="A17" s="391" t="s">
        <v>286</v>
      </c>
      <c r="B17" s="130">
        <f>'Earned Incurred QTD-4'!D40+'Earned Incurred QTD-4'!D39+'Earned Incurred QTD-4'!D44</f>
        <v>1077760.1999999997</v>
      </c>
      <c r="C17" s="405"/>
    </row>
    <row r="18" spans="1:3" ht="15">
      <c r="A18" s="391" t="s">
        <v>100</v>
      </c>
      <c r="B18" s="148">
        <f>'Earned Incurred QTD-4'!E37</f>
        <v>22313.510000000002</v>
      </c>
      <c r="C18" s="405"/>
    </row>
    <row r="19" spans="1:3" ht="15">
      <c r="A19" s="391" t="s">
        <v>479</v>
      </c>
      <c r="B19" s="404"/>
      <c r="C19" s="551">
        <f>SUM(B14:B18)</f>
        <v>6201272.559999999</v>
      </c>
    </row>
    <row r="20" spans="1:3" ht="15">
      <c r="A20" s="391"/>
      <c r="B20" s="404"/>
      <c r="C20" s="552"/>
    </row>
    <row r="21" spans="1:3" ht="15">
      <c r="A21" s="391" t="s">
        <v>392</v>
      </c>
      <c r="B21" s="404"/>
      <c r="C21" s="552">
        <f>C11-C19</f>
        <v>-825156.5599999987</v>
      </c>
    </row>
    <row r="22" spans="1:3" ht="15">
      <c r="A22" s="407"/>
      <c r="B22" s="404"/>
      <c r="C22" s="552"/>
    </row>
    <row r="23" spans="1:3" ht="15">
      <c r="A23" s="407" t="s">
        <v>288</v>
      </c>
      <c r="B23" s="404"/>
      <c r="C23" s="552"/>
    </row>
    <row r="24" spans="1:3" ht="15">
      <c r="A24" s="391" t="s">
        <v>43</v>
      </c>
      <c r="B24" s="404"/>
      <c r="C24" s="551">
        <f>'Earned Incurred QTD-4'!E53</f>
        <v>29500.089999999997</v>
      </c>
    </row>
    <row r="25" spans="1:3" ht="15">
      <c r="A25" s="391"/>
      <c r="B25" s="404"/>
      <c r="C25" s="552"/>
    </row>
    <row r="26" spans="1:3" ht="15.75" thickBot="1">
      <c r="A26" s="391" t="s">
        <v>393</v>
      </c>
      <c r="B26" s="404"/>
      <c r="C26" s="553">
        <f>C21+C24-1</f>
        <v>-795657.4699999987</v>
      </c>
    </row>
    <row r="27" spans="1:3" ht="15">
      <c r="A27" s="407"/>
      <c r="B27" s="404"/>
      <c r="C27" s="743"/>
    </row>
    <row r="28" spans="1:3" ht="15">
      <c r="A28" s="407" t="s">
        <v>276</v>
      </c>
      <c r="B28" s="404"/>
      <c r="C28" s="552"/>
    </row>
    <row r="29" spans="1:3" ht="15">
      <c r="A29" s="391" t="s">
        <v>42</v>
      </c>
      <c r="B29" s="404"/>
      <c r="C29" s="552">
        <v>-11925058</v>
      </c>
    </row>
    <row r="30" spans="1:3" ht="15">
      <c r="A30" s="391" t="s">
        <v>394</v>
      </c>
      <c r="B30" s="130">
        <f>C26</f>
        <v>-795657.4699999987</v>
      </c>
      <c r="C30" s="552"/>
    </row>
    <row r="31" spans="1:3" ht="14.25" customHeight="1">
      <c r="A31" s="391" t="s">
        <v>291</v>
      </c>
      <c r="B31" s="148">
        <f>-'[1]TB03-31-04(Final)'!D1041-2</f>
        <v>15022.91</v>
      </c>
      <c r="C31" s="552"/>
    </row>
    <row r="32" spans="1:3" ht="15" hidden="1">
      <c r="A32" s="391" t="s">
        <v>69</v>
      </c>
      <c r="B32" s="151">
        <v>0</v>
      </c>
      <c r="C32" s="552"/>
    </row>
    <row r="33" spans="1:3" ht="15" hidden="1">
      <c r="A33" s="391" t="s">
        <v>211</v>
      </c>
      <c r="B33" s="148">
        <v>0</v>
      </c>
      <c r="C33" s="552"/>
    </row>
    <row r="34" spans="1:3" ht="15">
      <c r="A34" s="391" t="s">
        <v>292</v>
      </c>
      <c r="B34" s="404"/>
      <c r="C34" s="552">
        <f>SUM(B30:B34)+1</f>
        <v>-780633.5599999987</v>
      </c>
    </row>
    <row r="35" spans="1:3" ht="15">
      <c r="A35" s="391"/>
      <c r="C35" s="745"/>
    </row>
    <row r="36" spans="1:3" ht="15.75" thickBot="1">
      <c r="A36" s="413" t="s">
        <v>80</v>
      </c>
      <c r="B36" s="404"/>
      <c r="C36" s="642">
        <f>C29+C34</f>
        <v>-12705691.559999999</v>
      </c>
    </row>
    <row r="37" spans="2:3" s="2" customFormat="1" ht="15.75" thickTop="1">
      <c r="B37" s="120"/>
      <c r="C37" s="259"/>
    </row>
    <row r="38" ht="15">
      <c r="C38" s="365"/>
    </row>
    <row r="41" s="130" customFormat="1" ht="15"/>
  </sheetData>
  <mergeCells count="4">
    <mergeCell ref="A2:C2"/>
    <mergeCell ref="A1:G1"/>
    <mergeCell ref="A3:G3"/>
    <mergeCell ref="A4:G4"/>
  </mergeCells>
  <printOptions horizontalCentered="1"/>
  <pageMargins left="0.25" right="0.25" top="0.75" bottom="0.75" header="0.5" footer="0.5"/>
  <pageSetup orientation="portrait" scale="80" r:id="rId1"/>
  <headerFooter alignWithMargins="0">
    <oddFooter>&amp;CPage 2
</oddFooter>
  </headerFooter>
</worksheet>
</file>

<file path=xl/worksheets/sheet6.xml><?xml version="1.0" encoding="utf-8"?>
<worksheet xmlns="http://schemas.openxmlformats.org/spreadsheetml/2006/main" xmlns:r="http://schemas.openxmlformats.org/officeDocument/2006/relationships">
  <dimension ref="A1:X70"/>
  <sheetViews>
    <sheetView zoomScale="75" zoomScaleNormal="75" workbookViewId="0" topLeftCell="A33">
      <selection activeCell="G63" sqref="A1:G63"/>
    </sheetView>
  </sheetViews>
  <sheetFormatPr defaultColWidth="9.140625" defaultRowHeight="12.75"/>
  <cols>
    <col min="1" max="1" width="41.00390625" style="32" customWidth="1"/>
    <col min="2" max="3" width="15.7109375" style="32" customWidth="1"/>
    <col min="4" max="6" width="15.7109375" style="363" customWidth="1"/>
    <col min="7" max="7" width="15.7109375" style="364" customWidth="1"/>
    <col min="8" max="16384" width="9.140625" style="32" customWidth="1"/>
  </cols>
  <sheetData>
    <row r="1" spans="1:7" s="243" customFormat="1" ht="25.5">
      <c r="A1" s="911" t="s">
        <v>260</v>
      </c>
      <c r="B1" s="911"/>
      <c r="C1" s="911"/>
      <c r="D1" s="911"/>
      <c r="E1" s="911"/>
      <c r="F1" s="911"/>
      <c r="G1" s="911"/>
    </row>
    <row r="2" spans="1:7" s="28" customFormat="1" ht="18.75">
      <c r="A2" s="912"/>
      <c r="B2" s="912"/>
      <c r="C2" s="912"/>
      <c r="D2" s="912"/>
      <c r="E2" s="912"/>
      <c r="F2" s="912"/>
      <c r="G2" s="912"/>
    </row>
    <row r="3" spans="1:7" s="30" customFormat="1" ht="18.75">
      <c r="A3" s="906" t="s">
        <v>293</v>
      </c>
      <c r="B3" s="906"/>
      <c r="C3" s="906"/>
      <c r="D3" s="906"/>
      <c r="E3" s="906"/>
      <c r="F3" s="906"/>
      <c r="G3" s="906"/>
    </row>
    <row r="4" spans="1:7" s="30" customFormat="1" ht="18.75">
      <c r="A4" s="906" t="s">
        <v>446</v>
      </c>
      <c r="B4" s="906"/>
      <c r="C4" s="906"/>
      <c r="D4" s="906"/>
      <c r="E4" s="906"/>
      <c r="F4" s="906"/>
      <c r="G4" s="906"/>
    </row>
    <row r="5" spans="1:7" s="30" customFormat="1" ht="18.75">
      <c r="A5" s="414"/>
      <c r="B5" s="414"/>
      <c r="C5" s="414"/>
      <c r="D5" s="415"/>
      <c r="E5" s="416"/>
      <c r="F5" s="416"/>
      <c r="G5" s="418"/>
    </row>
    <row r="6" spans="1:7" ht="12.75">
      <c r="A6" s="419"/>
      <c r="B6" s="419"/>
      <c r="C6" s="419"/>
      <c r="D6" s="417"/>
      <c r="E6" s="417"/>
      <c r="F6" s="417"/>
      <c r="G6" s="420"/>
    </row>
    <row r="7" spans="1:7" s="33" customFormat="1" ht="34.5" customHeight="1">
      <c r="A7" s="421"/>
      <c r="B7" s="422" t="s">
        <v>197</v>
      </c>
      <c r="C7" s="422" t="s">
        <v>41</v>
      </c>
      <c r="D7" s="422" t="s">
        <v>45</v>
      </c>
      <c r="E7" s="422" t="s">
        <v>145</v>
      </c>
      <c r="F7" s="422" t="s">
        <v>218</v>
      </c>
      <c r="G7" s="422" t="s">
        <v>261</v>
      </c>
    </row>
    <row r="8" spans="1:7" s="35" customFormat="1" ht="12.75">
      <c r="A8" s="423" t="s">
        <v>295</v>
      </c>
      <c r="B8" s="423"/>
      <c r="C8" s="423"/>
      <c r="D8" s="424"/>
      <c r="E8" s="425"/>
      <c r="F8" s="425"/>
      <c r="G8" s="426"/>
    </row>
    <row r="9" spans="1:7" ht="12.75">
      <c r="A9" s="427" t="s">
        <v>296</v>
      </c>
      <c r="B9" s="573">
        <f>+'Premiums QTD-5'!B11</f>
        <v>5561680</v>
      </c>
      <c r="C9" s="573">
        <f>+'Premiums QTD-5'!C11</f>
        <v>118641</v>
      </c>
      <c r="D9" s="573">
        <f>+'Premiums QTD-5'!D11</f>
        <v>-4079</v>
      </c>
      <c r="E9" s="647">
        <f>+'Premiums QTD-5'!E11</f>
        <v>0</v>
      </c>
      <c r="F9" s="647">
        <f>+'Premiums QTD-5'!F11</f>
        <v>0</v>
      </c>
      <c r="G9" s="573">
        <f>SUM(B9:F9)</f>
        <v>5676242</v>
      </c>
    </row>
    <row r="10" spans="1:7" ht="12.75">
      <c r="A10" s="427" t="s">
        <v>297</v>
      </c>
      <c r="B10" s="557">
        <f>+'Earned Incurred QTD-4'!D49</f>
        <v>28209.62</v>
      </c>
      <c r="C10" s="557">
        <v>0</v>
      </c>
      <c r="D10" s="557">
        <v>0</v>
      </c>
      <c r="E10" s="557">
        <v>0</v>
      </c>
      <c r="F10" s="557">
        <v>0</v>
      </c>
      <c r="G10" s="557">
        <f>SUM(B10:F10)</f>
        <v>28209.62</v>
      </c>
    </row>
    <row r="11" spans="1:7" ht="13.5" thickBot="1">
      <c r="A11" s="429" t="s">
        <v>298</v>
      </c>
      <c r="B11" s="559">
        <f aca="true" t="shared" si="0" ref="B11:G11">SUM(B9:B10)</f>
        <v>5589889.62</v>
      </c>
      <c r="C11" s="559">
        <f t="shared" si="0"/>
        <v>118641</v>
      </c>
      <c r="D11" s="559">
        <f t="shared" si="0"/>
        <v>-4079</v>
      </c>
      <c r="E11" s="560">
        <f t="shared" si="0"/>
        <v>0</v>
      </c>
      <c r="F11" s="560">
        <f t="shared" si="0"/>
        <v>0</v>
      </c>
      <c r="G11" s="890">
        <f t="shared" si="0"/>
        <v>5704451.62</v>
      </c>
    </row>
    <row r="12" spans="1:7" ht="13.5" thickTop="1">
      <c r="A12" s="429"/>
      <c r="B12" s="430"/>
      <c r="C12" s="430"/>
      <c r="D12" s="430"/>
      <c r="E12" s="428"/>
      <c r="F12" s="428"/>
      <c r="G12" s="428"/>
    </row>
    <row r="13" spans="1:7" ht="12.75">
      <c r="A13" s="423" t="s">
        <v>299</v>
      </c>
      <c r="B13" s="424"/>
      <c r="C13" s="424"/>
      <c r="D13" s="424"/>
      <c r="E13" s="431"/>
      <c r="F13" s="431"/>
      <c r="G13" s="428"/>
    </row>
    <row r="14" spans="1:7" ht="12.75">
      <c r="A14" s="429" t="s">
        <v>300</v>
      </c>
      <c r="B14" s="557">
        <f>+'Losses Incurred QTR-6'!B12</f>
        <v>33631.479999999996</v>
      </c>
      <c r="C14" s="557">
        <f>+'Losses Incurred QTR-6'!C12</f>
        <v>2253578.89</v>
      </c>
      <c r="D14" s="557">
        <f>+'Losses Incurred QTR-6'!D12</f>
        <v>1441590.6300000001</v>
      </c>
      <c r="E14" s="557">
        <f>+'Losses Incurred QTR-6'!E12</f>
        <v>-4174.74</v>
      </c>
      <c r="F14" s="557">
        <f>+'Losses Incurred QTR-6'!F12</f>
        <v>59135.12</v>
      </c>
      <c r="G14" s="557">
        <f>SUM(B14:F14)</f>
        <v>3783761.38</v>
      </c>
    </row>
    <row r="15" spans="1:7" ht="12.75">
      <c r="A15" s="429" t="s">
        <v>301</v>
      </c>
      <c r="B15" s="557">
        <f>+'[1](1)LEP-QTD16JE5'!B38</f>
        <v>4432.92</v>
      </c>
      <c r="C15" s="557">
        <f>+'[1](1)LEP-QTD16JE5'!B32</f>
        <v>215145.31</v>
      </c>
      <c r="D15" s="557">
        <f>+'[1](1)LEP-QTD16JE5'!B26</f>
        <v>77522.81</v>
      </c>
      <c r="E15" s="557">
        <f>+'[1](1)LEP-QTD16JE5'!B20</f>
        <v>982.14</v>
      </c>
      <c r="F15" s="557">
        <f>+'[1](1)LEP-QTD16JE5'!B14</f>
        <v>980.5</v>
      </c>
      <c r="G15" s="557">
        <f>SUM(B15:F15)-1</f>
        <v>299062.68000000005</v>
      </c>
    </row>
    <row r="16" spans="1:7" ht="12.75">
      <c r="A16" s="429" t="s">
        <v>302</v>
      </c>
      <c r="B16" s="557">
        <f>+'[1](1)LEP-QTD16JE5'!F38</f>
        <v>1252.4153292486014</v>
      </c>
      <c r="C16" s="557">
        <f>+'[1](1)LEP-QTD16JE5'!F32</f>
        <v>84007.416788827</v>
      </c>
      <c r="D16" s="557">
        <f>+'[1](1)LEP-QTD16JE5'!F26</f>
        <v>53685.97045668836</v>
      </c>
      <c r="E16" s="557">
        <f>+'[1](1)LEP-QTD16JE5'!F20</f>
        <v>55.86117099348276</v>
      </c>
      <c r="F16" s="557">
        <f>+'[1](1)LEP-QTD16JE5'!F14</f>
        <v>2206.5162542425687</v>
      </c>
      <c r="G16" s="557">
        <f aca="true" t="shared" si="1" ref="G16:G22">SUM(B16:F16)</f>
        <v>141208.18</v>
      </c>
    </row>
    <row r="17" spans="1:7" ht="12.75">
      <c r="A17" s="429" t="s">
        <v>303</v>
      </c>
      <c r="B17" s="557">
        <f>+'[1]TB03-31-04(Final)'!E635</f>
        <v>12016.59</v>
      </c>
      <c r="C17" s="557">
        <v>0</v>
      </c>
      <c r="D17" s="363">
        <v>0</v>
      </c>
      <c r="E17" s="363">
        <v>0</v>
      </c>
      <c r="F17" s="557">
        <v>0</v>
      </c>
      <c r="G17" s="557">
        <f t="shared" si="1"/>
        <v>12016.59</v>
      </c>
    </row>
    <row r="18" spans="1:7" ht="12.75">
      <c r="A18" s="432" t="s">
        <v>304</v>
      </c>
      <c r="B18" s="557">
        <f>+'[1]TB03-31-04(Final)'!E647</f>
        <v>92969.09</v>
      </c>
      <c r="C18" s="882">
        <v>0</v>
      </c>
      <c r="D18" s="363">
        <v>0</v>
      </c>
      <c r="E18" s="363">
        <v>0</v>
      </c>
      <c r="F18" s="557">
        <v>0</v>
      </c>
      <c r="G18" s="557">
        <f t="shared" si="1"/>
        <v>92969.09</v>
      </c>
    </row>
    <row r="19" spans="1:7" ht="12.75">
      <c r="A19" s="429" t="s">
        <v>306</v>
      </c>
      <c r="B19" s="557">
        <f>+'[1]TB03-31-04(Final)'!E639</f>
        <v>3506.25</v>
      </c>
      <c r="C19" s="882">
        <v>0</v>
      </c>
      <c r="D19" s="363">
        <v>0</v>
      </c>
      <c r="E19" s="363">
        <v>0</v>
      </c>
      <c r="F19" s="557">
        <v>0</v>
      </c>
      <c r="G19" s="557">
        <f>SUM(B19:F19)</f>
        <v>3506.25</v>
      </c>
    </row>
    <row r="20" spans="1:7" ht="12.75">
      <c r="A20" s="432" t="s">
        <v>305</v>
      </c>
      <c r="B20" s="364">
        <f>+'[1]TB03-31-04(Final)'!E588</f>
        <v>533610.0499999999</v>
      </c>
      <c r="C20" s="364">
        <f>+'[1]TB03-31-04(Final)'!E587</f>
        <v>-11993.2</v>
      </c>
      <c r="D20" s="364">
        <f>+'[1]TB03-31-04(Final)'!E586</f>
        <v>-369.09999999999997</v>
      </c>
      <c r="E20" s="557">
        <v>0</v>
      </c>
      <c r="F20" s="557">
        <v>0</v>
      </c>
      <c r="G20" s="557">
        <f t="shared" si="1"/>
        <v>521247.74999999994</v>
      </c>
    </row>
    <row r="21" spans="1:7" ht="12.75">
      <c r="A21" s="429" t="s">
        <v>307</v>
      </c>
      <c r="B21" s="557">
        <f>'Earned Incurred QTD-4'!D40</f>
        <v>932394.3699999998</v>
      </c>
      <c r="D21" s="363">
        <v>0</v>
      </c>
      <c r="E21" s="363">
        <v>0</v>
      </c>
      <c r="F21" s="557">
        <v>0</v>
      </c>
      <c r="G21" s="557">
        <f t="shared" si="1"/>
        <v>932394.3699999998</v>
      </c>
    </row>
    <row r="22" spans="1:7" ht="12.75">
      <c r="A22" s="429" t="s">
        <v>98</v>
      </c>
      <c r="B22" s="363">
        <v>27756</v>
      </c>
      <c r="C22" s="363">
        <f>4464.57+1113.79+1</f>
        <v>5579.36</v>
      </c>
      <c r="D22" s="363">
        <v>0</v>
      </c>
      <c r="E22" s="363">
        <v>0</v>
      </c>
      <c r="F22" s="564">
        <v>0</v>
      </c>
      <c r="G22" s="557">
        <f t="shared" si="1"/>
        <v>33335.36</v>
      </c>
    </row>
    <row r="23" spans="1:7" ht="13.5" thickBot="1">
      <c r="A23" s="429" t="s">
        <v>298</v>
      </c>
      <c r="B23" s="559">
        <f>SUM(B14:B22)-1</f>
        <v>1641568.1653292482</v>
      </c>
      <c r="C23" s="559">
        <f>SUM(C14:C22)-1</f>
        <v>2546316.776788827</v>
      </c>
      <c r="D23" s="559">
        <f>SUM(D14:D22)+1</f>
        <v>1572431.3104566885</v>
      </c>
      <c r="E23" s="560">
        <f>SUM(E14:E22)</f>
        <v>-3136.7388290065173</v>
      </c>
      <c r="F23" s="560">
        <f>SUM(F14:F22)+1</f>
        <v>62323.13625424257</v>
      </c>
      <c r="G23" s="890">
        <f>SUM(G14:G22)</f>
        <v>5819501.65</v>
      </c>
    </row>
    <row r="24" spans="1:7" ht="13.5" thickTop="1">
      <c r="A24" s="429"/>
      <c r="B24" s="363"/>
      <c r="C24" s="363"/>
      <c r="E24" s="557"/>
      <c r="F24" s="557"/>
      <c r="G24" s="557"/>
    </row>
    <row r="25" spans="1:7" ht="13.5" thickBot="1">
      <c r="A25" s="434" t="s">
        <v>308</v>
      </c>
      <c r="B25" s="565">
        <f>B11-B23+1</f>
        <v>3948322.454670752</v>
      </c>
      <c r="C25" s="565">
        <f>C11-C23</f>
        <v>-2427675.776788827</v>
      </c>
      <c r="D25" s="565">
        <f>D11-D23</f>
        <v>-1576510.3104566885</v>
      </c>
      <c r="E25" s="565">
        <f>E11-E23</f>
        <v>3136.7388290065173</v>
      </c>
      <c r="F25" s="565">
        <f>F11-F23</f>
        <v>-62323.13625424257</v>
      </c>
      <c r="G25" s="890">
        <f>SUM(B25:F25)</f>
        <v>-115050.02999999968</v>
      </c>
    </row>
    <row r="26" spans="1:7" ht="16.5" customHeight="1" thickTop="1">
      <c r="A26" s="429"/>
      <c r="B26" s="363"/>
      <c r="C26" s="363"/>
      <c r="E26" s="557"/>
      <c r="F26" s="557"/>
      <c r="G26" s="557"/>
    </row>
    <row r="27" spans="1:7" ht="12.75">
      <c r="A27" s="423" t="s">
        <v>309</v>
      </c>
      <c r="B27" s="566"/>
      <c r="C27" s="566"/>
      <c r="D27" s="566"/>
      <c r="E27" s="567"/>
      <c r="F27" s="567"/>
      <c r="G27" s="557"/>
    </row>
    <row r="28" spans="1:7" ht="12.75">
      <c r="A28" s="429" t="s">
        <v>310</v>
      </c>
      <c r="B28" s="557">
        <v>0</v>
      </c>
      <c r="C28" s="557">
        <v>8748</v>
      </c>
      <c r="D28" s="557">
        <v>0</v>
      </c>
      <c r="E28" s="557">
        <v>0</v>
      </c>
      <c r="F28" s="557">
        <v>0</v>
      </c>
      <c r="G28" s="557">
        <f>SUM(B28:F28)</f>
        <v>8748</v>
      </c>
    </row>
    <row r="29" spans="1:7" ht="12.75">
      <c r="A29" s="429" t="s">
        <v>311</v>
      </c>
      <c r="B29" s="557">
        <f>+'Balance Sheet-1'!D17</f>
        <v>219887.21000000002</v>
      </c>
      <c r="C29" s="557">
        <v>0</v>
      </c>
      <c r="D29" s="557">
        <v>0</v>
      </c>
      <c r="E29" s="363">
        <v>0</v>
      </c>
      <c r="F29" s="557">
        <v>0</v>
      </c>
      <c r="G29" s="557">
        <f>SUM(B29:F29)</f>
        <v>219887.21000000002</v>
      </c>
    </row>
    <row r="30" spans="1:7" ht="12.75" hidden="1">
      <c r="A30" s="429" t="s">
        <v>69</v>
      </c>
      <c r="B30" s="557">
        <v>0</v>
      </c>
      <c r="C30" s="557">
        <v>0</v>
      </c>
      <c r="D30" s="557">
        <v>0</v>
      </c>
      <c r="E30" s="363">
        <v>0</v>
      </c>
      <c r="F30" s="557">
        <v>0</v>
      </c>
      <c r="G30" s="557">
        <f>SUM(C30:F30)</f>
        <v>0</v>
      </c>
    </row>
    <row r="31" spans="1:7" ht="12.75" hidden="1">
      <c r="A31" s="429" t="s">
        <v>70</v>
      </c>
      <c r="B31" s="568">
        <v>0</v>
      </c>
      <c r="C31" s="568">
        <v>0</v>
      </c>
      <c r="D31" s="568">
        <v>0</v>
      </c>
      <c r="E31" s="363">
        <v>0</v>
      </c>
      <c r="F31" s="557">
        <v>0</v>
      </c>
      <c r="G31" s="557">
        <f>SUM(C31:F31)</f>
        <v>0</v>
      </c>
    </row>
    <row r="32" spans="1:7" ht="12.75" hidden="1">
      <c r="A32" s="429"/>
      <c r="B32" s="557">
        <v>0</v>
      </c>
      <c r="C32" s="557">
        <v>0</v>
      </c>
      <c r="D32" s="557">
        <v>0</v>
      </c>
      <c r="E32" s="557">
        <v>0</v>
      </c>
      <c r="F32" s="557">
        <v>0</v>
      </c>
      <c r="G32" s="557">
        <f>SUM(C32:F32)</f>
        <v>0</v>
      </c>
    </row>
    <row r="33" spans="1:7" ht="13.5" thickBot="1">
      <c r="A33" s="429" t="s">
        <v>298</v>
      </c>
      <c r="B33" s="560">
        <f aca="true" t="shared" si="2" ref="B33:G33">SUM(B28:B32)</f>
        <v>219887.21000000002</v>
      </c>
      <c r="C33" s="560">
        <f t="shared" si="2"/>
        <v>8748</v>
      </c>
      <c r="D33" s="560">
        <f t="shared" si="2"/>
        <v>0</v>
      </c>
      <c r="E33" s="560">
        <f t="shared" si="2"/>
        <v>0</v>
      </c>
      <c r="F33" s="560">
        <f t="shared" si="2"/>
        <v>0</v>
      </c>
      <c r="G33" s="890">
        <f t="shared" si="2"/>
        <v>228635.21000000002</v>
      </c>
    </row>
    <row r="34" spans="1:7" ht="13.5" thickTop="1">
      <c r="A34" s="429"/>
      <c r="B34" s="363"/>
      <c r="C34" s="363"/>
      <c r="E34" s="557"/>
      <c r="F34" s="557"/>
      <c r="G34" s="557"/>
    </row>
    <row r="35" spans="1:7" ht="12.75">
      <c r="A35" s="423" t="s">
        <v>312</v>
      </c>
      <c r="B35" s="566"/>
      <c r="C35" s="566"/>
      <c r="D35" s="566"/>
      <c r="E35" s="567"/>
      <c r="F35" s="567"/>
      <c r="G35" s="557"/>
    </row>
    <row r="36" spans="1:7" ht="12.75">
      <c r="A36" s="429" t="s">
        <v>313</v>
      </c>
      <c r="B36" s="557">
        <f>+'Balance Sheet-1'!E10</f>
        <v>10038.47</v>
      </c>
      <c r="C36" s="882">
        <v>0</v>
      </c>
      <c r="D36" s="557">
        <v>0</v>
      </c>
      <c r="E36" s="363">
        <v>0</v>
      </c>
      <c r="F36" s="557">
        <v>0</v>
      </c>
      <c r="G36" s="557">
        <f>SUM(B36:F36)</f>
        <v>10038.47</v>
      </c>
    </row>
    <row r="37" spans="1:7" ht="12.75">
      <c r="A37" s="429" t="s">
        <v>314</v>
      </c>
      <c r="B37" s="363">
        <v>0</v>
      </c>
      <c r="C37" s="363">
        <v>234912</v>
      </c>
      <c r="D37" s="363">
        <v>0</v>
      </c>
      <c r="E37" s="557">
        <v>0</v>
      </c>
      <c r="F37" s="557">
        <v>0</v>
      </c>
      <c r="G37" s="557">
        <f>SUM(B37:F37)</f>
        <v>234912</v>
      </c>
    </row>
    <row r="38" spans="1:24" s="43" customFormat="1" ht="12.75" hidden="1">
      <c r="A38" s="429"/>
      <c r="B38" s="568"/>
      <c r="C38" s="568"/>
      <c r="D38" s="568"/>
      <c r="E38" s="557">
        <v>0</v>
      </c>
      <c r="F38" s="557">
        <v>0</v>
      </c>
      <c r="G38" s="557">
        <f>SUM(D38:F38)</f>
        <v>0</v>
      </c>
      <c r="H38" s="41"/>
      <c r="I38" s="42"/>
      <c r="J38" s="42"/>
      <c r="K38" s="42"/>
      <c r="L38" s="42"/>
      <c r="M38" s="42"/>
      <c r="N38" s="41"/>
      <c r="O38" s="41"/>
      <c r="P38" s="41"/>
      <c r="Q38" s="41"/>
      <c r="R38" s="41"/>
      <c r="S38" s="41"/>
      <c r="T38" s="41"/>
      <c r="U38" s="41"/>
      <c r="V38" s="41"/>
      <c r="W38" s="41"/>
      <c r="X38" s="41"/>
    </row>
    <row r="39" spans="1:7" ht="13.5" thickBot="1">
      <c r="A39" s="429" t="s">
        <v>298</v>
      </c>
      <c r="B39" s="560">
        <f aca="true" t="shared" si="3" ref="B39:G39">SUM(B36:B38)</f>
        <v>10038.47</v>
      </c>
      <c r="C39" s="560">
        <f t="shared" si="3"/>
        <v>234912</v>
      </c>
      <c r="D39" s="560">
        <f t="shared" si="3"/>
        <v>0</v>
      </c>
      <c r="E39" s="560">
        <f t="shared" si="3"/>
        <v>0</v>
      </c>
      <c r="F39" s="560">
        <f t="shared" si="3"/>
        <v>0</v>
      </c>
      <c r="G39" s="890">
        <f t="shared" si="3"/>
        <v>244950.47</v>
      </c>
    </row>
    <row r="40" spans="1:7" ht="13.5" thickTop="1">
      <c r="A40" s="429"/>
      <c r="B40" s="363"/>
      <c r="C40" s="363"/>
      <c r="E40" s="557"/>
      <c r="F40" s="557"/>
      <c r="G40" s="569"/>
    </row>
    <row r="41" spans="1:24" s="43" customFormat="1" ht="12.75" hidden="1">
      <c r="A41" s="435" t="s">
        <v>188</v>
      </c>
      <c r="B41" s="570"/>
      <c r="C41" s="570"/>
      <c r="D41" s="570"/>
      <c r="E41" s="557"/>
      <c r="F41" s="557"/>
      <c r="G41" s="557"/>
      <c r="H41" s="41"/>
      <c r="I41" s="42"/>
      <c r="J41" s="42"/>
      <c r="K41" s="42"/>
      <c r="L41" s="42"/>
      <c r="M41" s="42"/>
      <c r="N41" s="41"/>
      <c r="O41" s="41"/>
      <c r="P41" s="41"/>
      <c r="Q41" s="41"/>
      <c r="R41" s="41"/>
      <c r="S41" s="41"/>
      <c r="T41" s="41"/>
      <c r="U41" s="41"/>
      <c r="V41" s="41"/>
      <c r="W41" s="41"/>
      <c r="X41" s="41"/>
    </row>
    <row r="42" spans="1:24" s="43" customFormat="1" ht="12.75" hidden="1">
      <c r="A42" s="436" t="s">
        <v>190</v>
      </c>
      <c r="B42" s="568">
        <v>0</v>
      </c>
      <c r="C42" s="568">
        <v>0</v>
      </c>
      <c r="D42" s="568"/>
      <c r="E42" s="557">
        <v>0</v>
      </c>
      <c r="F42" s="557">
        <v>0</v>
      </c>
      <c r="G42" s="557">
        <f>SUM(B42:F42)</f>
        <v>0</v>
      </c>
      <c r="H42" s="41"/>
      <c r="I42" s="42"/>
      <c r="J42" s="42"/>
      <c r="K42" s="42"/>
      <c r="L42" s="42"/>
      <c r="M42" s="42"/>
      <c r="N42" s="41"/>
      <c r="O42" s="41"/>
      <c r="P42" s="41"/>
      <c r="Q42" s="41"/>
      <c r="R42" s="41"/>
      <c r="S42" s="41"/>
      <c r="T42" s="41"/>
      <c r="U42" s="41"/>
      <c r="V42" s="41"/>
      <c r="W42" s="41"/>
      <c r="X42" s="41"/>
    </row>
    <row r="43" spans="1:13" s="43" customFormat="1" ht="12.75" hidden="1">
      <c r="A43" s="436" t="s">
        <v>298</v>
      </c>
      <c r="B43" s="559">
        <f>SUM(B42:B42)</f>
        <v>0</v>
      </c>
      <c r="C43" s="559">
        <f>SUM(C42:C42)</f>
        <v>0</v>
      </c>
      <c r="D43" s="559">
        <f>SUM(D42:D42)</f>
        <v>0</v>
      </c>
      <c r="E43" s="559">
        <f>SUM(E42:E42)</f>
        <v>0</v>
      </c>
      <c r="F43" s="559">
        <f>SUM(F42:F42)</f>
        <v>0</v>
      </c>
      <c r="G43" s="569">
        <f>SUM(B43:F43)</f>
        <v>0</v>
      </c>
      <c r="H43" s="41"/>
      <c r="I43" s="42"/>
      <c r="J43" s="42"/>
      <c r="K43" s="42"/>
      <c r="L43" s="42"/>
      <c r="M43" s="42"/>
    </row>
    <row r="44" spans="1:7" ht="12.75">
      <c r="A44" s="429"/>
      <c r="B44" s="363"/>
      <c r="C44" s="363"/>
      <c r="E44" s="557"/>
      <c r="F44" s="557"/>
      <c r="G44" s="569"/>
    </row>
    <row r="45" spans="1:7" ht="15" customHeight="1" thickBot="1">
      <c r="A45" s="423" t="s">
        <v>315</v>
      </c>
      <c r="B45" s="565">
        <f>B25-B33+B39+B43-1</f>
        <v>3738472.714670752</v>
      </c>
      <c r="C45" s="565">
        <f>C25-C33+C39+C43</f>
        <v>-2201511.776788827</v>
      </c>
      <c r="D45" s="565">
        <f>D25-D33+D39+D43</f>
        <v>-1576510.3104566885</v>
      </c>
      <c r="E45" s="565">
        <f>E25-E33+E39+E43</f>
        <v>3136.7388290065173</v>
      </c>
      <c r="F45" s="565">
        <f>F25-F33+F39+F43</f>
        <v>-62323.13625424257</v>
      </c>
      <c r="G45" s="890">
        <f>SUM(B45:F45)</f>
        <v>-98735.76999999944</v>
      </c>
    </row>
    <row r="46" spans="1:7" ht="13.5" thickTop="1">
      <c r="A46" s="429"/>
      <c r="B46" s="363"/>
      <c r="C46" s="363"/>
      <c r="E46" s="557"/>
      <c r="F46" s="557"/>
      <c r="G46" s="557"/>
    </row>
    <row r="47" spans="1:7" ht="12.75">
      <c r="A47" s="437" t="s">
        <v>102</v>
      </c>
      <c r="B47" s="571"/>
      <c r="C47" s="571"/>
      <c r="D47" s="571"/>
      <c r="E47" s="557"/>
      <c r="F47" s="557"/>
      <c r="G47" s="557"/>
    </row>
    <row r="48" spans="1:7" ht="12.75">
      <c r="A48" s="429" t="s">
        <v>273</v>
      </c>
      <c r="B48" s="557">
        <f>+'Premiums QTD-5'!B17</f>
        <v>4864930</v>
      </c>
      <c r="C48" s="557">
        <f>+'Premiums QTD-5'!C17</f>
        <v>6184683</v>
      </c>
      <c r="D48" s="557">
        <f>+'Premiums QTD-5'!D17</f>
        <v>0</v>
      </c>
      <c r="E48" s="557">
        <f>+'Premiums QTD-5'!E17</f>
        <v>0</v>
      </c>
      <c r="F48" s="557">
        <f>+'Premiums QTD-5'!F17</f>
        <v>0</v>
      </c>
      <c r="G48" s="557">
        <f>SUM(B48:F48)</f>
        <v>11049613</v>
      </c>
    </row>
    <row r="49" spans="1:7" ht="12.75">
      <c r="A49" s="429" t="s">
        <v>316</v>
      </c>
      <c r="B49" s="557">
        <f>+'Losses Incurred QTR-6'!B18+'Losses Incurred QTR-6'!B24</f>
        <v>235344</v>
      </c>
      <c r="C49" s="557">
        <f>+'Losses Incurred QTR-6'!C18+'Losses Incurred QTR-6'!C24-1</f>
        <v>6459077.91</v>
      </c>
      <c r="D49" s="557">
        <f>+'Losses Incurred QTR-6'!D18+'Losses Incurred QTR-6'!D24</f>
        <v>641510.1499999999</v>
      </c>
      <c r="E49" s="557">
        <f>+'Losses Incurred QTR-6'!E18+'Losses Incurred QTR-6'!E24-1</f>
        <v>112289.44</v>
      </c>
      <c r="F49" s="557">
        <f>+'Losses Incurred QTR-6'!F15+'Losses Incurred QTR-6'!F24</f>
        <v>114362.37</v>
      </c>
      <c r="G49" s="557">
        <f>SUM(B49:F49)-1</f>
        <v>7562582.870000001</v>
      </c>
    </row>
    <row r="50" spans="1:7" ht="12.75">
      <c r="A50" s="429" t="s">
        <v>317</v>
      </c>
      <c r="B50" s="557">
        <f>+'Loss Expenses QTR-7'!B18</f>
        <v>315873.31</v>
      </c>
      <c r="C50" s="557">
        <f>+'Loss Expenses QTR-7'!C18</f>
        <v>280590.5</v>
      </c>
      <c r="D50" s="557">
        <f>+'Loss Expenses QTR-7'!D18</f>
        <v>112831.85</v>
      </c>
      <c r="E50" s="557">
        <f>+'Loss Expenses QTR-7'!E18</f>
        <v>26690.6</v>
      </c>
      <c r="F50" s="557">
        <f>+'Loss Expenses QTR-7'!F18</f>
        <v>15081.720000000001</v>
      </c>
      <c r="G50" s="557">
        <f>SUM(B50:F50)+1</f>
        <v>751068.98</v>
      </c>
    </row>
    <row r="51" spans="1:7" ht="12.75">
      <c r="A51" s="429" t="s">
        <v>318</v>
      </c>
      <c r="B51" s="557">
        <f>+'Earned Incurred QTD-4'!C42</f>
        <v>330321.9</v>
      </c>
      <c r="C51" s="882">
        <v>0</v>
      </c>
      <c r="D51" s="363">
        <v>0</v>
      </c>
      <c r="E51" s="363">
        <v>0</v>
      </c>
      <c r="F51" s="557">
        <v>0</v>
      </c>
      <c r="G51" s="557">
        <f>SUM(B51:F51)</f>
        <v>330321.9</v>
      </c>
    </row>
    <row r="52" spans="1:7" ht="12.75">
      <c r="A52" s="429" t="s">
        <v>319</v>
      </c>
      <c r="B52" s="557">
        <f>+'Earned Incurred QTD-4'!C33</f>
        <v>50113.97</v>
      </c>
      <c r="C52" s="882">
        <v>0</v>
      </c>
      <c r="D52" s="557">
        <v>0</v>
      </c>
      <c r="E52" s="363">
        <v>0</v>
      </c>
      <c r="F52" s="557">
        <v>0</v>
      </c>
      <c r="G52" s="557">
        <f>SUM(B52:F52)</f>
        <v>50113.97</v>
      </c>
    </row>
    <row r="53" spans="1:7" ht="13.5" thickBot="1">
      <c r="A53" s="438" t="s">
        <v>298</v>
      </c>
      <c r="B53" s="560">
        <f>SUM(B48:B52)</f>
        <v>5796583.18</v>
      </c>
      <c r="C53" s="560">
        <f>SUM(C48:C52)+1</f>
        <v>12924352.41</v>
      </c>
      <c r="D53" s="560">
        <f>SUM(D48:D52)</f>
        <v>754341.9999999999</v>
      </c>
      <c r="E53" s="560">
        <f>SUM(E48:E52)</f>
        <v>138980.04</v>
      </c>
      <c r="F53" s="560">
        <f>SUM(F48:F52)</f>
        <v>129444.09</v>
      </c>
      <c r="G53" s="890">
        <f>SUM(G48:G52)</f>
        <v>19743700.72</v>
      </c>
    </row>
    <row r="54" spans="1:7" ht="12.75" hidden="1">
      <c r="A54" s="429"/>
      <c r="B54" s="363"/>
      <c r="C54" s="363"/>
      <c r="E54" s="557"/>
      <c r="F54" s="557"/>
      <c r="G54" s="557"/>
    </row>
    <row r="55" spans="1:7" ht="13.5" thickTop="1">
      <c r="A55" s="437" t="s">
        <v>103</v>
      </c>
      <c r="B55" s="571"/>
      <c r="C55" s="571"/>
      <c r="D55" s="571"/>
      <c r="E55" s="557"/>
      <c r="F55" s="557"/>
      <c r="G55" s="557"/>
    </row>
    <row r="56" spans="1:7" ht="12.75">
      <c r="A56" s="429" t="s">
        <v>273</v>
      </c>
      <c r="B56" s="557">
        <v>0</v>
      </c>
      <c r="C56" s="557">
        <f>+'Premiums QTD-5'!C23</f>
        <v>10749487</v>
      </c>
      <c r="D56" s="557">
        <f>+'Premiums QTD-5'!D23</f>
        <v>0</v>
      </c>
      <c r="E56" s="557">
        <f>+'Premiums QTD-5'!E23</f>
        <v>0</v>
      </c>
      <c r="F56" s="557">
        <f>+'Premiums QTD-5'!F23</f>
        <v>0</v>
      </c>
      <c r="G56" s="557">
        <f aca="true" t="shared" si="4" ref="G56:G61">SUM(B56:F56)</f>
        <v>10749487</v>
      </c>
    </row>
    <row r="57" spans="1:7" ht="12.75">
      <c r="A57" s="429" t="s">
        <v>316</v>
      </c>
      <c r="B57" s="557">
        <v>0</v>
      </c>
      <c r="C57" s="557">
        <f>+'Losses Incurred QTR-6'!C31</f>
        <v>5008777</v>
      </c>
      <c r="D57" s="557">
        <f>+'Losses Incurred QTR-6'!D31</f>
        <v>1978509</v>
      </c>
      <c r="E57" s="557">
        <f>+'Losses Incurred QTR-6'!E31</f>
        <v>94531</v>
      </c>
      <c r="F57" s="557">
        <f>+'Losses Incurred QTR-6'!F31</f>
        <v>158729</v>
      </c>
      <c r="G57" s="557">
        <f t="shared" si="4"/>
        <v>7240546</v>
      </c>
    </row>
    <row r="58" spans="1:7" ht="12.75">
      <c r="A58" s="429" t="s">
        <v>320</v>
      </c>
      <c r="B58" s="557">
        <v>0</v>
      </c>
      <c r="C58" s="557">
        <f>+'Loss Expenses QTR-7'!C24</f>
        <v>434423</v>
      </c>
      <c r="D58" s="557">
        <f>+'Loss Expenses QTR-7'!D24</f>
        <v>250677</v>
      </c>
      <c r="E58" s="557">
        <f>+'Loss Expenses QTR-7'!E24</f>
        <v>11977</v>
      </c>
      <c r="F58" s="557">
        <f>+'Loss Expenses QTR-7'!F24</f>
        <v>20111</v>
      </c>
      <c r="G58" s="557">
        <f t="shared" si="4"/>
        <v>717188</v>
      </c>
    </row>
    <row r="59" spans="1:7" ht="12.75">
      <c r="A59" s="429" t="s">
        <v>318</v>
      </c>
      <c r="B59" s="557">
        <v>0</v>
      </c>
      <c r="C59" s="557">
        <f>+'Earned Incurred QTD-4'!C43</f>
        <v>293448</v>
      </c>
      <c r="D59" s="557">
        <v>0</v>
      </c>
      <c r="E59" s="557">
        <v>0</v>
      </c>
      <c r="F59" s="557">
        <v>0</v>
      </c>
      <c r="G59" s="557">
        <f t="shared" si="4"/>
        <v>293448</v>
      </c>
    </row>
    <row r="60" spans="1:7" ht="12.75">
      <c r="A60" s="429" t="s">
        <v>319</v>
      </c>
      <c r="B60" s="557">
        <v>0</v>
      </c>
      <c r="C60" s="557">
        <f>+'Earned Incurred QTD-4'!C34</f>
        <v>61135</v>
      </c>
      <c r="D60" s="557">
        <v>0</v>
      </c>
      <c r="E60" s="557">
        <v>0</v>
      </c>
      <c r="F60" s="557">
        <v>0</v>
      </c>
      <c r="G60" s="557">
        <f t="shared" si="4"/>
        <v>61135</v>
      </c>
    </row>
    <row r="61" spans="1:7" ht="13.5" thickBot="1">
      <c r="A61" s="429" t="s">
        <v>298</v>
      </c>
      <c r="B61" s="560">
        <f>SUM(B56:B60)</f>
        <v>0</v>
      </c>
      <c r="C61" s="560">
        <f>SUM(C56:C60)</f>
        <v>16547270</v>
      </c>
      <c r="D61" s="560">
        <f>SUM(D56:D60)</f>
        <v>2229186</v>
      </c>
      <c r="E61" s="560">
        <f>SUM(E56:E60)</f>
        <v>106508</v>
      </c>
      <c r="F61" s="560">
        <f>SUM(F56:F60)</f>
        <v>178840</v>
      </c>
      <c r="G61" s="890">
        <f t="shared" si="4"/>
        <v>19061804</v>
      </c>
    </row>
    <row r="62" spans="1:7" ht="13.5" thickTop="1">
      <c r="A62" s="429"/>
      <c r="B62" s="430"/>
      <c r="C62" s="430"/>
      <c r="D62" s="430"/>
      <c r="E62" s="430"/>
      <c r="F62" s="430"/>
      <c r="G62" s="433"/>
    </row>
    <row r="63" spans="1:8" ht="13.5" thickBot="1">
      <c r="A63" s="434" t="s">
        <v>321</v>
      </c>
      <c r="B63" s="572">
        <f>B45-B53+B61</f>
        <v>-2058110.4653292475</v>
      </c>
      <c r="C63" s="572">
        <f>C45-C53+C61</f>
        <v>1421405.8132111728</v>
      </c>
      <c r="D63" s="572">
        <f>D45-D53+D61</f>
        <v>-101666.31045668852</v>
      </c>
      <c r="E63" s="572">
        <f>E45-E53+E61</f>
        <v>-29335.30117099348</v>
      </c>
      <c r="F63" s="572">
        <f>F45-F53+F61</f>
        <v>-12927.22625424256</v>
      </c>
      <c r="G63" s="572">
        <f>SUM(B63:F63)-1</f>
        <v>-780634.4899999993</v>
      </c>
      <c r="H63" s="258"/>
    </row>
    <row r="64" spans="1:8" ht="13.5" thickTop="1">
      <c r="A64" s="429"/>
      <c r="B64" s="429"/>
      <c r="C64" s="429"/>
      <c r="D64" s="430"/>
      <c r="E64" s="430"/>
      <c r="F64" s="430"/>
      <c r="H64" s="258"/>
    </row>
    <row r="65" spans="1:6" ht="12.75">
      <c r="A65" s="429"/>
      <c r="B65" s="429"/>
      <c r="C65" s="429"/>
      <c r="D65" s="430"/>
      <c r="E65" s="430"/>
      <c r="F65" s="430"/>
    </row>
    <row r="66" spans="1:7" ht="12.75">
      <c r="A66" s="429"/>
      <c r="B66" s="429"/>
      <c r="C66" s="429"/>
      <c r="D66" s="430"/>
      <c r="E66" s="430"/>
      <c r="F66" s="430"/>
      <c r="G66" s="696"/>
    </row>
    <row r="67" ht="12.75">
      <c r="G67" s="363"/>
    </row>
    <row r="68" ht="12.75">
      <c r="G68" s="363"/>
    </row>
    <row r="69" ht="12.75">
      <c r="G69" s="363"/>
    </row>
    <row r="70" spans="1:7" ht="12.75">
      <c r="A70" s="35"/>
      <c r="B70" s="35"/>
      <c r="C70" s="35"/>
      <c r="G70" s="363"/>
    </row>
  </sheetData>
  <mergeCells count="4">
    <mergeCell ref="A1:G1"/>
    <mergeCell ref="A2:G2"/>
    <mergeCell ref="A3:G3"/>
    <mergeCell ref="A4:G4"/>
  </mergeCells>
  <printOptions horizontalCentered="1"/>
  <pageMargins left="0.25" right="0.25" top="0.75" bottom="0.75" header="0.5" footer="0.5"/>
  <pageSetup horizontalDpi="300" verticalDpi="300" orientation="portrait" scale="75" r:id="rId1"/>
  <headerFooter alignWithMargins="0">
    <oddFooter>&amp;CPage 3
</oddFooter>
  </headerFooter>
</worksheet>
</file>

<file path=xl/worksheets/sheet7.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2" customWidth="1"/>
    <col min="2" max="5" width="15.8515625" style="363" customWidth="1"/>
    <col min="6" max="6" width="16.421875" style="364" customWidth="1"/>
    <col min="7" max="7" width="17.7109375" style="364" customWidth="1"/>
    <col min="8" max="8" width="17.7109375" style="45" customWidth="1"/>
    <col min="9" max="9" width="9.57421875" style="32" customWidth="1"/>
    <col min="10" max="10" width="13.421875" style="32" customWidth="1"/>
    <col min="11" max="16384" width="9.140625" style="32" customWidth="1"/>
  </cols>
  <sheetData>
    <row r="1" spans="1:8" s="245" customFormat="1" ht="25.5">
      <c r="A1" s="907" t="s">
        <v>260</v>
      </c>
      <c r="B1" s="907"/>
      <c r="C1" s="907"/>
      <c r="D1" s="907"/>
      <c r="E1" s="907"/>
      <c r="F1" s="907"/>
      <c r="G1" s="907"/>
      <c r="H1" s="244"/>
    </row>
    <row r="2" spans="1:8" s="28" customFormat="1" ht="18.75">
      <c r="A2" s="908"/>
      <c r="B2" s="908"/>
      <c r="C2" s="908"/>
      <c r="D2" s="908"/>
      <c r="E2" s="908"/>
      <c r="F2" s="908"/>
      <c r="G2" s="908"/>
      <c r="H2" s="1"/>
    </row>
    <row r="3" spans="1:8" s="30" customFormat="1" ht="18.75">
      <c r="A3" s="909" t="s">
        <v>293</v>
      </c>
      <c r="B3" s="909"/>
      <c r="C3" s="909"/>
      <c r="D3" s="909"/>
      <c r="E3" s="909"/>
      <c r="F3" s="909"/>
      <c r="G3" s="909"/>
      <c r="H3" s="29"/>
    </row>
    <row r="4" spans="1:8" s="30" customFormat="1" ht="18.75">
      <c r="A4" s="909" t="s">
        <v>9</v>
      </c>
      <c r="B4" s="909"/>
      <c r="C4" s="909"/>
      <c r="D4" s="909"/>
      <c r="E4" s="909"/>
      <c r="F4" s="909"/>
      <c r="G4" s="909"/>
      <c r="H4" s="29"/>
    </row>
    <row r="5" spans="1:8" s="30" customFormat="1" ht="18.75">
      <c r="A5" s="439"/>
      <c r="B5" s="440"/>
      <c r="C5" s="440"/>
      <c r="D5" s="440"/>
      <c r="E5" s="440"/>
      <c r="F5" s="441"/>
      <c r="G5" s="442"/>
      <c r="H5" s="29"/>
    </row>
    <row r="6" spans="1:8" ht="15.75">
      <c r="A6" s="443"/>
      <c r="B6" s="441"/>
      <c r="C6" s="441"/>
      <c r="D6" s="441"/>
      <c r="E6" s="441"/>
      <c r="F6" s="444"/>
      <c r="G6" s="445"/>
      <c r="H6" s="31"/>
    </row>
    <row r="7" spans="1:9" s="33" customFormat="1" ht="25.5">
      <c r="A7" s="446"/>
      <c r="B7" s="447" t="s">
        <v>41</v>
      </c>
      <c r="C7" s="447" t="s">
        <v>45</v>
      </c>
      <c r="D7" s="447" t="s">
        <v>145</v>
      </c>
      <c r="E7" s="447" t="s">
        <v>221</v>
      </c>
      <c r="F7" s="447" t="s">
        <v>99</v>
      </c>
      <c r="G7" s="447" t="s">
        <v>261</v>
      </c>
      <c r="H7" s="422"/>
      <c r="I7" s="33" t="s">
        <v>133</v>
      </c>
    </row>
    <row r="8" spans="1:8" s="35" customFormat="1" ht="12.75">
      <c r="A8" s="448" t="s">
        <v>295</v>
      </c>
      <c r="B8" s="449"/>
      <c r="C8" s="449"/>
      <c r="D8" s="449"/>
      <c r="E8" s="449"/>
      <c r="F8" s="449"/>
      <c r="G8" s="450"/>
      <c r="H8" s="34"/>
    </row>
    <row r="9" spans="1:9" ht="12.75">
      <c r="A9" s="451" t="s">
        <v>296</v>
      </c>
      <c r="B9" s="574">
        <f>'(7)Premiums YTD8'!B12</f>
        <v>118640</v>
      </c>
      <c r="C9" s="574">
        <f>'(7)Premiums YTD8'!C12</f>
        <v>-4078</v>
      </c>
      <c r="D9" s="574">
        <f>'(7)Premiums YTD8'!D12</f>
        <v>0</v>
      </c>
      <c r="E9" s="574" t="e">
        <f>'(7)Premiums YTD8'!E12</f>
        <v>#REF!</v>
      </c>
      <c r="F9" s="647" t="e">
        <f>'(7)Premiums YTD8'!F12</f>
        <v>#REF!</v>
      </c>
      <c r="G9" s="575" t="e">
        <f>SUM(B9:F9)</f>
        <v>#REF!</v>
      </c>
      <c r="H9" s="36" t="e">
        <f>SUM(G9)</f>
        <v>#REF!</v>
      </c>
      <c r="I9" s="32">
        <v>8</v>
      </c>
    </row>
    <row r="10" spans="1:9" ht="12.75">
      <c r="A10" s="451" t="s">
        <v>297</v>
      </c>
      <c r="B10" s="557">
        <f>'(8)Earned Incurred YTD6'!C48</f>
        <v>44581.64</v>
      </c>
      <c r="C10" s="557">
        <f>'(8)Earned Incurred YTD6'!D48</f>
        <v>0</v>
      </c>
      <c r="D10" s="557">
        <v>0</v>
      </c>
      <c r="E10" s="557">
        <v>0</v>
      </c>
      <c r="F10" s="557">
        <v>0</v>
      </c>
      <c r="G10" s="558">
        <f>SUM(B10:F10)</f>
        <v>44581.64</v>
      </c>
      <c r="H10" s="37">
        <f>+'(8)Earned Incurred YTD6'!C48</f>
        <v>44581.64</v>
      </c>
      <c r="I10" s="32">
        <v>6</v>
      </c>
    </row>
    <row r="11" spans="1:8" ht="12.75">
      <c r="A11" s="372" t="s">
        <v>298</v>
      </c>
      <c r="B11" s="560">
        <f aca="true" t="shared" si="0" ref="B11:G11">SUM(B9:B10)</f>
        <v>163221.64</v>
      </c>
      <c r="C11" s="560">
        <f t="shared" si="0"/>
        <v>-4078</v>
      </c>
      <c r="D11" s="560">
        <f t="shared" si="0"/>
        <v>0</v>
      </c>
      <c r="E11" s="560" t="e">
        <f t="shared" si="0"/>
        <v>#REF!</v>
      </c>
      <c r="F11" s="560" t="e">
        <f t="shared" si="0"/>
        <v>#REF!</v>
      </c>
      <c r="G11" s="561" t="e">
        <f t="shared" si="0"/>
        <v>#REF!</v>
      </c>
      <c r="H11" s="40"/>
    </row>
    <row r="12" spans="1:8" ht="12.75">
      <c r="A12" s="372"/>
      <c r="B12" s="557"/>
      <c r="C12" s="557"/>
      <c r="D12" s="557"/>
      <c r="E12" s="557"/>
      <c r="F12" s="557"/>
      <c r="G12" s="557"/>
      <c r="H12" s="38"/>
    </row>
    <row r="13" spans="1:8" ht="12.75">
      <c r="A13" s="448" t="s">
        <v>299</v>
      </c>
      <c r="B13" s="567"/>
      <c r="C13" s="567"/>
      <c r="D13" s="567"/>
      <c r="E13" s="567"/>
      <c r="F13" s="567"/>
      <c r="G13" s="557"/>
      <c r="H13" s="38"/>
    </row>
    <row r="14" spans="1:10" ht="12.75">
      <c r="A14" s="372" t="s">
        <v>300</v>
      </c>
      <c r="B14" s="557">
        <f>+'(6)Losses Incurred YTD10'!B12</f>
        <v>2255791.24</v>
      </c>
      <c r="C14" s="557" t="e">
        <f>+'(6)Losses Incurred YTD10'!C12</f>
        <v>#REF!</v>
      </c>
      <c r="D14" s="557" t="e">
        <f>+'(6)Losses Incurred YTD10'!D12</f>
        <v>#REF!</v>
      </c>
      <c r="E14" s="557">
        <f>+'(6)Losses Incurred YTD10'!E12</f>
        <v>59250</v>
      </c>
      <c r="F14" s="557" t="e">
        <f>'(6)Losses Incurred YTD10'!F12</f>
        <v>#REF!</v>
      </c>
      <c r="G14" s="562" t="e">
        <f>SUM(B14:F14)-1</f>
        <v>#REF!</v>
      </c>
      <c r="H14" s="37" t="e">
        <f>+'(6)Losses Incurred YTD10'!H12</f>
        <v>#REF!</v>
      </c>
      <c r="I14" s="32">
        <v>10</v>
      </c>
      <c r="J14" s="118" t="e">
        <f>+G14-H14</f>
        <v>#REF!</v>
      </c>
    </row>
    <row r="15" spans="1:9" ht="12.75">
      <c r="A15" s="372" t="s">
        <v>301</v>
      </c>
      <c r="B15" s="557">
        <f>+'(1)ULEP-YTD17'!B44</f>
        <v>210128.8</v>
      </c>
      <c r="C15" s="557">
        <f>+'(1)ULEP-YTD17'!B38</f>
        <v>77522.81</v>
      </c>
      <c r="D15" s="557">
        <f>+'(1)ULEP-YTD17'!B32</f>
        <v>982.14</v>
      </c>
      <c r="E15" s="557">
        <f>+'(1)ULEP-YTD17'!B26</f>
        <v>605.69</v>
      </c>
      <c r="F15" s="557" t="e">
        <f>+'(1)ULEP-YTD17'!B20</f>
        <v>#REF!</v>
      </c>
      <c r="G15" s="562" t="e">
        <f aca="true" t="shared" si="1" ref="G15:G22">SUM(B15:F15)</f>
        <v>#REF!</v>
      </c>
      <c r="H15" s="37" t="e">
        <f>+'(1)ULEP-YTD17'!G49</f>
        <v>#REF!</v>
      </c>
      <c r="I15" s="32">
        <v>17</v>
      </c>
    </row>
    <row r="16" spans="1:9" ht="12.75">
      <c r="A16" s="372" t="s">
        <v>302</v>
      </c>
      <c r="B16" s="557">
        <f>+'(1)ULEP-YTD17'!F44</f>
        <v>84007.43000000001</v>
      </c>
      <c r="C16" s="557">
        <f>+'(1)ULEP-YTD17'!F38</f>
        <v>53685.96</v>
      </c>
      <c r="D16" s="557">
        <f>+'(1)ULEP-YTD17'!F32</f>
        <v>1103.4799999999998</v>
      </c>
      <c r="E16" s="557">
        <f>+'(1)ULEP-YTD17'!F26</f>
        <v>2206.52</v>
      </c>
      <c r="F16" s="557" t="e">
        <f>+'(1)ULEP-YTD17'!F20</f>
        <v>#REF!</v>
      </c>
      <c r="G16" s="562" t="e">
        <f t="shared" si="1"/>
        <v>#REF!</v>
      </c>
      <c r="H16" s="37" t="e">
        <f>+G16+G15</f>
        <v>#REF!</v>
      </c>
      <c r="I16" s="32">
        <v>17</v>
      </c>
    </row>
    <row r="17" spans="1:9" ht="12.75">
      <c r="A17" s="372" t="s">
        <v>303</v>
      </c>
      <c r="B17" s="557">
        <f>+'[1]TB03-31-04(Final)'!G635</f>
        <v>12016.59</v>
      </c>
      <c r="C17" s="557">
        <v>0</v>
      </c>
      <c r="D17" s="557">
        <v>0</v>
      </c>
      <c r="E17" s="557">
        <v>0</v>
      </c>
      <c r="F17" s="364">
        <v>0</v>
      </c>
      <c r="G17" s="562">
        <f t="shared" si="1"/>
        <v>12016.59</v>
      </c>
      <c r="H17" s="374">
        <f>+'(8)Earned Incurred YTD6'!C38</f>
        <v>108491.93</v>
      </c>
      <c r="I17" s="39">
        <v>62000</v>
      </c>
    </row>
    <row r="18" spans="1:10" ht="12.75">
      <c r="A18" s="453" t="s">
        <v>304</v>
      </c>
      <c r="B18" s="557">
        <f>+'[1]TB03-31-04(Final)'!G647</f>
        <v>92969.09</v>
      </c>
      <c r="C18" s="557">
        <v>0</v>
      </c>
      <c r="D18" s="557">
        <v>0</v>
      </c>
      <c r="E18" s="557">
        <v>0</v>
      </c>
      <c r="F18" s="557">
        <v>0</v>
      </c>
      <c r="G18" s="562">
        <f t="shared" si="1"/>
        <v>92969.09</v>
      </c>
      <c r="H18" s="37">
        <f>+G17+G18+G20</f>
        <v>108491.93</v>
      </c>
      <c r="I18" s="39">
        <v>65000</v>
      </c>
      <c r="J18" s="118">
        <f>+H17-H18</f>
        <v>0</v>
      </c>
    </row>
    <row r="19" spans="1:10" ht="12.75">
      <c r="A19" s="453" t="s">
        <v>305</v>
      </c>
      <c r="B19" s="364" t="e">
        <f>+'(8)Earned Incurred YTD6'!D37-C19-D19-E19</f>
        <v>#REF!</v>
      </c>
      <c r="C19" s="364">
        <f>+'[1]TB03-31-04(Final)'!F626+'[1]TB03-31-04(Final)'!F620+'[1]TB03-31-04(Final)'!F612+'[1]TB03-31-04(Final)'!F603+'[1]TB03-31-04(Final)'!F595+'[1]TB03-31-04(Final)'!F586</f>
        <v>-369.1</v>
      </c>
      <c r="D19" s="557">
        <f>+'[1]TB03-31-04(Final)'!G585</f>
        <v>0</v>
      </c>
      <c r="E19" s="557" t="e">
        <f>+'[1]TB03-31-04(Final)'!F584+'[1]TB03-31-04(Final)'!F593+'[1]TB03-31-04(Final)'!F601-'[1]TB03-31-04(Final)'!F610</f>
        <v>#REF!</v>
      </c>
      <c r="F19" s="691">
        <v>0</v>
      </c>
      <c r="G19" s="562" t="e">
        <f>SUM(B19:F19)</f>
        <v>#REF!</v>
      </c>
      <c r="H19" s="37">
        <f>+'[1]TB03-31-04(Final)'!G630</f>
        <v>528557.35</v>
      </c>
      <c r="I19" s="32" t="s">
        <v>134</v>
      </c>
      <c r="J19" s="118" t="e">
        <f>+G19-H19</f>
        <v>#REF!</v>
      </c>
    </row>
    <row r="20" spans="1:9" ht="12.75">
      <c r="A20" s="372" t="s">
        <v>306</v>
      </c>
      <c r="B20" s="557">
        <f>+'[1]TB03-31-04(Final)'!G639</f>
        <v>3506.25</v>
      </c>
      <c r="C20" s="557">
        <v>0</v>
      </c>
      <c r="D20" s="557">
        <v>0</v>
      </c>
      <c r="E20" s="557">
        <v>0</v>
      </c>
      <c r="F20" s="364">
        <v>0</v>
      </c>
      <c r="G20" s="562">
        <f t="shared" si="1"/>
        <v>3506.25</v>
      </c>
      <c r="H20" s="374">
        <f>+G20+G18+G17</f>
        <v>108491.93</v>
      </c>
      <c r="I20" s="39">
        <v>63000</v>
      </c>
    </row>
    <row r="21" spans="1:10" ht="12.75">
      <c r="A21" s="372" t="s">
        <v>307</v>
      </c>
      <c r="B21" s="557">
        <f>+'(8)Earned Incurred YTD6'!C39</f>
        <v>995251.8099999997</v>
      </c>
      <c r="C21" s="557">
        <f>+'(8)Earned Incurred YTD6'!D39</f>
        <v>0</v>
      </c>
      <c r="D21" s="557">
        <v>0</v>
      </c>
      <c r="E21" s="557">
        <v>0</v>
      </c>
      <c r="F21" s="364">
        <v>0</v>
      </c>
      <c r="G21" s="562">
        <f t="shared" si="1"/>
        <v>995251.8099999997</v>
      </c>
      <c r="H21" s="37"/>
      <c r="I21" s="32">
        <v>5</v>
      </c>
      <c r="J21" s="373">
        <f>+G21-H21</f>
        <v>995251.8099999997</v>
      </c>
    </row>
    <row r="22" spans="1:9" ht="12.75">
      <c r="A22" s="372" t="s">
        <v>274</v>
      </c>
      <c r="B22" s="557">
        <f>23108.63+20347.1+10350+600</f>
        <v>54405.729999999996</v>
      </c>
      <c r="C22" s="557">
        <f>20700+6478.27+1200</f>
        <v>28378.27</v>
      </c>
      <c r="D22" s="557">
        <v>0</v>
      </c>
      <c r="E22" s="563">
        <v>0</v>
      </c>
      <c r="F22" s="364">
        <v>0</v>
      </c>
      <c r="G22" s="562">
        <f t="shared" si="1"/>
        <v>82784</v>
      </c>
      <c r="H22" s="38">
        <f>+'(8)Earned Incurred YTD6'!C31</f>
        <v>82784</v>
      </c>
      <c r="I22" s="32">
        <v>6</v>
      </c>
    </row>
    <row r="23" spans="1:8" ht="12.75">
      <c r="A23" s="372" t="s">
        <v>298</v>
      </c>
      <c r="B23" s="560" t="e">
        <f aca="true" t="shared" si="2" ref="B23:G23">SUM(B14:B22)</f>
        <v>#REF!</v>
      </c>
      <c r="C23" s="560" t="e">
        <f t="shared" si="2"/>
        <v>#REF!</v>
      </c>
      <c r="D23" s="560" t="e">
        <f t="shared" si="2"/>
        <v>#REF!</v>
      </c>
      <c r="E23" s="560" t="e">
        <f t="shared" si="2"/>
        <v>#REF!</v>
      </c>
      <c r="F23" s="560" t="e">
        <f>SUM(F14:F22)</f>
        <v>#REF!</v>
      </c>
      <c r="G23" s="561" t="e">
        <f t="shared" si="2"/>
        <v>#REF!</v>
      </c>
      <c r="H23" s="146" t="e">
        <f>SUM(G14:G22)</f>
        <v>#REF!</v>
      </c>
    </row>
    <row r="24" spans="1:8" ht="12.75">
      <c r="A24" s="372"/>
      <c r="B24" s="557"/>
      <c r="C24" s="557"/>
      <c r="D24" s="557"/>
      <c r="E24" s="557"/>
      <c r="F24" s="557"/>
      <c r="G24" s="557"/>
      <c r="H24" s="38"/>
    </row>
    <row r="25" spans="1:8" ht="12.75">
      <c r="A25" s="454" t="s">
        <v>308</v>
      </c>
      <c r="B25" s="565" t="e">
        <f aca="true" t="shared" si="3" ref="B25:G25">B11-B23</f>
        <v>#REF!</v>
      </c>
      <c r="C25" s="565" t="e">
        <f>C11-C23</f>
        <v>#REF!</v>
      </c>
      <c r="D25" s="565" t="e">
        <f t="shared" si="3"/>
        <v>#REF!</v>
      </c>
      <c r="E25" s="565" t="e">
        <f t="shared" si="3"/>
        <v>#REF!</v>
      </c>
      <c r="F25" s="565" t="e">
        <f t="shared" si="3"/>
        <v>#REF!</v>
      </c>
      <c r="G25" s="561" t="e">
        <f t="shared" si="3"/>
        <v>#REF!</v>
      </c>
      <c r="H25" s="146"/>
    </row>
    <row r="26" spans="1:8" ht="16.5" customHeight="1">
      <c r="A26" s="372"/>
      <c r="B26" s="557"/>
      <c r="C26" s="557"/>
      <c r="D26" s="557"/>
      <c r="E26" s="557"/>
      <c r="F26" s="557"/>
      <c r="G26" s="557"/>
      <c r="H26" s="38"/>
    </row>
    <row r="27" spans="1:8" ht="12.75">
      <c r="A27" s="448" t="s">
        <v>309</v>
      </c>
      <c r="B27" s="567"/>
      <c r="C27" s="567"/>
      <c r="D27" s="567"/>
      <c r="E27" s="567"/>
      <c r="F27" s="567"/>
      <c r="G27" s="557"/>
      <c r="H27" s="38"/>
    </row>
    <row r="28" spans="1:8" ht="12.75">
      <c r="A28" s="372" t="s">
        <v>310</v>
      </c>
      <c r="B28" s="557">
        <v>0</v>
      </c>
      <c r="C28" s="557">
        <v>17084</v>
      </c>
      <c r="D28" s="557">
        <v>0</v>
      </c>
      <c r="E28" s="557">
        <v>0</v>
      </c>
      <c r="F28" s="557">
        <v>0</v>
      </c>
      <c r="G28" s="562">
        <f>SUM(B28:F28)</f>
        <v>17084</v>
      </c>
      <c r="H28" s="38"/>
    </row>
    <row r="29" spans="1:8" ht="12.75">
      <c r="A29" s="372" t="s">
        <v>311</v>
      </c>
      <c r="B29" s="557">
        <f>'Balance Sheet-1'!D17</f>
        <v>219887.21000000002</v>
      </c>
      <c r="C29" s="557">
        <v>0</v>
      </c>
      <c r="D29" s="557">
        <v>0</v>
      </c>
      <c r="E29" s="557">
        <v>0</v>
      </c>
      <c r="F29" s="557">
        <v>0</v>
      </c>
      <c r="G29" s="562">
        <f>SUM(B29:F29)</f>
        <v>219887.21000000002</v>
      </c>
      <c r="H29" s="38"/>
    </row>
    <row r="30" spans="1:8" ht="12.75" hidden="1">
      <c r="A30" s="372" t="s">
        <v>69</v>
      </c>
      <c r="B30" s="557">
        <v>0</v>
      </c>
      <c r="C30" s="557">
        <v>0</v>
      </c>
      <c r="D30" s="557">
        <v>0</v>
      </c>
      <c r="E30" s="557">
        <v>0</v>
      </c>
      <c r="F30" s="557">
        <v>0</v>
      </c>
      <c r="G30" s="562">
        <f>SUM(B30:F30)</f>
        <v>0</v>
      </c>
      <c r="H30" s="38" t="s">
        <v>32</v>
      </c>
    </row>
    <row r="31" spans="1:8" ht="12.75">
      <c r="A31" s="372" t="s">
        <v>298</v>
      </c>
      <c r="B31" s="560">
        <f aca="true" t="shared" si="4" ref="B31:G31">SUM(B28:B30)</f>
        <v>219887.21000000002</v>
      </c>
      <c r="C31" s="560">
        <f t="shared" si="4"/>
        <v>17084</v>
      </c>
      <c r="D31" s="560">
        <f t="shared" si="4"/>
        <v>0</v>
      </c>
      <c r="E31" s="560">
        <f t="shared" si="4"/>
        <v>0</v>
      </c>
      <c r="F31" s="560">
        <f t="shared" si="4"/>
        <v>0</v>
      </c>
      <c r="G31" s="561">
        <f t="shared" si="4"/>
        <v>236971.21000000002</v>
      </c>
      <c r="H31" s="40"/>
    </row>
    <row r="32" spans="1:8" ht="12.75">
      <c r="A32" s="372"/>
      <c r="B32" s="557"/>
      <c r="C32" s="557"/>
      <c r="D32" s="557"/>
      <c r="E32" s="557"/>
      <c r="F32" s="557"/>
      <c r="G32" s="557"/>
      <c r="H32" s="38"/>
    </row>
    <row r="33" spans="1:8" ht="12.75">
      <c r="A33" s="448" t="s">
        <v>312</v>
      </c>
      <c r="B33" s="567"/>
      <c r="C33" s="567"/>
      <c r="D33" s="567"/>
      <c r="E33" s="567"/>
      <c r="F33" s="567"/>
      <c r="G33" s="557"/>
      <c r="H33" s="38"/>
    </row>
    <row r="34" spans="1:8" ht="12.75">
      <c r="A34" s="372" t="s">
        <v>313</v>
      </c>
      <c r="B34" s="557">
        <f>'(8)Earned Incurred YTD6'!B49</f>
        <v>10038.47</v>
      </c>
      <c r="C34" s="557">
        <f>'(8)Earned Incurred YTD6'!C49</f>
        <v>0</v>
      </c>
      <c r="D34" s="557">
        <v>0</v>
      </c>
      <c r="E34" s="557">
        <v>0</v>
      </c>
      <c r="F34" s="557">
        <v>0</v>
      </c>
      <c r="G34" s="562">
        <f>SUM(B34:F34)</f>
        <v>10038.47</v>
      </c>
      <c r="H34" s="38">
        <f>-G28+G34</f>
        <v>-7045.530000000001</v>
      </c>
    </row>
    <row r="35" spans="1:8" ht="12.75">
      <c r="A35" s="372" t="s">
        <v>314</v>
      </c>
      <c r="B35" s="557">
        <v>0</v>
      </c>
      <c r="C35" s="557">
        <v>282394</v>
      </c>
      <c r="D35" s="557">
        <v>0</v>
      </c>
      <c r="E35" s="557">
        <v>0</v>
      </c>
      <c r="F35" s="557">
        <v>0</v>
      </c>
      <c r="G35" s="562">
        <f>SUM(B35:F35)</f>
        <v>282394</v>
      </c>
      <c r="H35" s="38"/>
    </row>
    <row r="36" spans="1:8" ht="12.75" hidden="1">
      <c r="A36" s="372"/>
      <c r="B36" s="557"/>
      <c r="C36" s="557"/>
      <c r="D36" s="557"/>
      <c r="E36" s="557"/>
      <c r="F36" s="557"/>
      <c r="G36" s="562"/>
      <c r="H36" s="38"/>
    </row>
    <row r="37" spans="1:8" ht="12.75">
      <c r="A37" s="372" t="s">
        <v>298</v>
      </c>
      <c r="B37" s="560">
        <f aca="true" t="shared" si="5" ref="B37:G37">SUM(B34:B36)</f>
        <v>10038.47</v>
      </c>
      <c r="C37" s="560">
        <f t="shared" si="5"/>
        <v>282394</v>
      </c>
      <c r="D37" s="560">
        <f t="shared" si="5"/>
        <v>0</v>
      </c>
      <c r="E37" s="560">
        <f t="shared" si="5"/>
        <v>0</v>
      </c>
      <c r="F37" s="560">
        <f t="shared" si="5"/>
        <v>0</v>
      </c>
      <c r="G37" s="561">
        <f t="shared" si="5"/>
        <v>292432.47</v>
      </c>
      <c r="H37" s="692">
        <f>+G31-G37</f>
        <v>-55461.25999999995</v>
      </c>
    </row>
    <row r="38" spans="1:8" ht="12.75">
      <c r="A38" s="372"/>
      <c r="B38" s="557"/>
      <c r="C38" s="557"/>
      <c r="D38" s="557"/>
      <c r="E38" s="557"/>
      <c r="F38" s="557"/>
      <c r="G38" s="569"/>
      <c r="H38" s="40"/>
    </row>
    <row r="39" spans="1:28" s="43" customFormat="1" ht="12.75">
      <c r="A39" s="455" t="s">
        <v>188</v>
      </c>
      <c r="B39" s="557"/>
      <c r="C39" s="557"/>
      <c r="D39" s="557"/>
      <c r="E39" s="557"/>
      <c r="F39" s="557"/>
      <c r="G39" s="557"/>
      <c r="H39" s="38"/>
      <c r="I39" s="41"/>
      <c r="J39" s="41"/>
      <c r="K39" s="41"/>
      <c r="L39" s="41"/>
      <c r="M39" s="42"/>
      <c r="N39" s="42"/>
      <c r="O39" s="42"/>
      <c r="P39" s="42"/>
      <c r="Q39" s="42"/>
      <c r="R39" s="41"/>
      <c r="S39" s="41"/>
      <c r="T39" s="41"/>
      <c r="U39" s="41"/>
      <c r="V39" s="41"/>
      <c r="W39" s="41"/>
      <c r="X39" s="41"/>
      <c r="Y39" s="41"/>
      <c r="Z39" s="41"/>
      <c r="AA39" s="41"/>
      <c r="AB39" s="41"/>
    </row>
    <row r="40" spans="1:28" s="43" customFormat="1" ht="12.75">
      <c r="A40" s="436" t="s">
        <v>189</v>
      </c>
      <c r="B40" s="568">
        <f>+'Income Statement-2'!B33</f>
        <v>0</v>
      </c>
      <c r="C40" s="568"/>
      <c r="D40" s="557">
        <v>0</v>
      </c>
      <c r="E40" s="557">
        <v>0</v>
      </c>
      <c r="F40" s="557">
        <v>0</v>
      </c>
      <c r="G40" s="562">
        <f>SUM(B40:F40)</f>
        <v>0</v>
      </c>
      <c r="H40" s="38">
        <f>-G40</f>
        <v>0</v>
      </c>
      <c r="I40" s="41"/>
      <c r="J40" s="41"/>
      <c r="K40" s="41"/>
      <c r="L40" s="41"/>
      <c r="M40" s="42"/>
      <c r="N40" s="42"/>
      <c r="O40" s="42"/>
      <c r="P40" s="42"/>
      <c r="Q40" s="42"/>
      <c r="R40" s="41"/>
      <c r="S40" s="41"/>
      <c r="T40" s="41"/>
      <c r="U40" s="41"/>
      <c r="V40" s="41"/>
      <c r="W40" s="41"/>
      <c r="X40" s="41"/>
      <c r="Y40" s="41"/>
      <c r="Z40" s="41"/>
      <c r="AA40" s="41"/>
      <c r="AB40" s="41"/>
    </row>
    <row r="41" spans="1:28" s="43" customFormat="1" ht="12.75" hidden="1">
      <c r="A41" s="456" t="s">
        <v>206</v>
      </c>
      <c r="B41" s="557">
        <v>0</v>
      </c>
      <c r="C41" s="557">
        <v>0</v>
      </c>
      <c r="D41" s="557">
        <v>0</v>
      </c>
      <c r="E41" s="557">
        <v>0</v>
      </c>
      <c r="F41" s="557">
        <v>0</v>
      </c>
      <c r="G41" s="562">
        <f>SUM(D41:F41)</f>
        <v>0</v>
      </c>
      <c r="H41" s="38"/>
      <c r="I41" s="41"/>
      <c r="J41" s="41"/>
      <c r="K41" s="41"/>
      <c r="L41" s="41"/>
      <c r="M41" s="42"/>
      <c r="N41" s="42"/>
      <c r="O41" s="42"/>
      <c r="P41" s="42"/>
      <c r="Q41" s="42"/>
      <c r="R41" s="41"/>
      <c r="S41" s="41"/>
      <c r="T41" s="41"/>
      <c r="U41" s="41"/>
      <c r="V41" s="41"/>
      <c r="W41" s="41"/>
      <c r="X41" s="41"/>
      <c r="Y41" s="41"/>
      <c r="Z41" s="41"/>
      <c r="AA41" s="41"/>
      <c r="AB41" s="41"/>
    </row>
    <row r="42" spans="1:17" s="43" customFormat="1" ht="12.75">
      <c r="A42" s="456" t="s">
        <v>298</v>
      </c>
      <c r="B42" s="565">
        <f>SUM(B40:B41)</f>
        <v>0</v>
      </c>
      <c r="C42" s="565">
        <f>SUM(C40:C41)</f>
        <v>0</v>
      </c>
      <c r="D42" s="565">
        <f>SUM(D40:D41)</f>
        <v>0</v>
      </c>
      <c r="E42" s="565">
        <f>SUM(E40:E41)</f>
        <v>0</v>
      </c>
      <c r="F42" s="560">
        <f>SUM(F40:F41)</f>
        <v>0</v>
      </c>
      <c r="G42" s="561">
        <f>SUM(B42:F42)</f>
        <v>0</v>
      </c>
      <c r="H42" s="40"/>
      <c r="I42" s="44"/>
      <c r="J42" s="41"/>
      <c r="K42" s="41"/>
      <c r="L42" s="41"/>
      <c r="M42" s="42"/>
      <c r="N42" s="42"/>
      <c r="O42" s="42"/>
      <c r="P42" s="42"/>
      <c r="Q42" s="42"/>
    </row>
    <row r="43" spans="1:8" ht="12.75">
      <c r="A43" s="372"/>
      <c r="B43" s="557"/>
      <c r="C43" s="557"/>
      <c r="D43" s="557"/>
      <c r="E43" s="557"/>
      <c r="F43" s="557"/>
      <c r="G43" s="569"/>
      <c r="H43" s="40"/>
    </row>
    <row r="44" spans="1:8" ht="13.5" thickBot="1">
      <c r="A44" s="448" t="s">
        <v>315</v>
      </c>
      <c r="B44" s="565" t="e">
        <f aca="true" t="shared" si="6" ref="B44:G44">B25-B31+B37+B42</f>
        <v>#REF!</v>
      </c>
      <c r="C44" s="565" t="e">
        <f>C25-C31+C37+C42</f>
        <v>#REF!</v>
      </c>
      <c r="D44" s="565" t="e">
        <f t="shared" si="6"/>
        <v>#REF!</v>
      </c>
      <c r="E44" s="565" t="e">
        <f t="shared" si="6"/>
        <v>#REF!</v>
      </c>
      <c r="F44" s="565" t="e">
        <f t="shared" si="6"/>
        <v>#REF!</v>
      </c>
      <c r="G44" s="561" t="e">
        <f t="shared" si="6"/>
        <v>#REF!</v>
      </c>
      <c r="H44" s="693">
        <f>SUM(H34:H43)</f>
        <v>-62506.78999999995</v>
      </c>
    </row>
    <row r="45" spans="1:8" ht="13.5" thickTop="1">
      <c r="A45" s="372"/>
      <c r="B45" s="557"/>
      <c r="C45" s="557"/>
      <c r="D45" s="557"/>
      <c r="E45" s="557"/>
      <c r="F45" s="557"/>
      <c r="G45" s="557"/>
      <c r="H45" s="38"/>
    </row>
    <row r="46" spans="1:8" ht="12.75">
      <c r="A46" s="457" t="s">
        <v>102</v>
      </c>
      <c r="B46" s="557"/>
      <c r="C46" s="557"/>
      <c r="D46" s="557"/>
      <c r="E46" s="557"/>
      <c r="F46" s="557"/>
      <c r="G46" s="557"/>
      <c r="H46" s="38"/>
    </row>
    <row r="47" spans="1:8" ht="12.75">
      <c r="A47" s="372" t="s">
        <v>273</v>
      </c>
      <c r="B47" s="557">
        <f>'(7)Premiums YTD8'!B18</f>
        <v>6184683</v>
      </c>
      <c r="C47" s="557">
        <f>'(7)Premiums YTD8'!C18</f>
        <v>0</v>
      </c>
      <c r="D47" s="557">
        <f>'(7)Premiums YTD8'!D18</f>
        <v>0</v>
      </c>
      <c r="E47" s="557" t="e">
        <f>'(7)Premiums YTD8'!E18</f>
        <v>#REF!</v>
      </c>
      <c r="F47" s="557" t="e">
        <f>'(7)Premiums YTD8'!F18</f>
        <v>#REF!</v>
      </c>
      <c r="G47" s="562" t="e">
        <f>SUM(B47:F47)</f>
        <v>#REF!</v>
      </c>
      <c r="H47" s="38" t="e">
        <f>+'(7)Premiums YTD8'!G18</f>
        <v>#REF!</v>
      </c>
    </row>
    <row r="48" spans="1:8" ht="12.75">
      <c r="A48" s="372" t="s">
        <v>316</v>
      </c>
      <c r="B48" s="557">
        <f>+'(6)Losses Incurred YTD10'!B18</f>
        <v>6530234.16294247</v>
      </c>
      <c r="C48" s="557">
        <f>+'(6)Losses Incurred YTD10'!C18</f>
        <v>525790.71</v>
      </c>
      <c r="D48" s="557">
        <f>+'(6)Losses Incurred YTD10'!D18</f>
        <v>92026</v>
      </c>
      <c r="E48" s="557">
        <f>'(6)Losses Incurred YTD10'!E18</f>
        <v>93733</v>
      </c>
      <c r="F48" s="557" t="e">
        <f>'(6)Losses Incurred YTD10'!F18</f>
        <v>#REF!</v>
      </c>
      <c r="G48" s="562" t="e">
        <f>SUM(B48:F48)</f>
        <v>#REF!</v>
      </c>
      <c r="H48" s="38" t="e">
        <f>+'(6)Losses Incurred YTD10'!H18</f>
        <v>#REF!</v>
      </c>
    </row>
    <row r="49" spans="1:8" ht="12.75">
      <c r="A49" s="372" t="s">
        <v>317</v>
      </c>
      <c r="B49" s="557">
        <f>+'(4)Loss Expenses YTD12'!B18</f>
        <v>670743.568894</v>
      </c>
      <c r="C49" s="557">
        <f>+'(4)Loss Expenses YTD12'!C18</f>
        <v>66617.682957</v>
      </c>
      <c r="D49" s="557">
        <f>+'(4)Loss Expenses YTD12'!D18</f>
        <v>11659.6942</v>
      </c>
      <c r="E49" s="557">
        <f>'(4)Loss Expenses YTD12'!E18-1</f>
        <v>11875.9847</v>
      </c>
      <c r="F49" s="557" t="e">
        <f>'(4)Loss Expenses YTD12'!F18-1</f>
        <v>#REF!</v>
      </c>
      <c r="G49" s="562" t="e">
        <f>SUM(B49:F49)+1</f>
        <v>#REF!</v>
      </c>
      <c r="H49" s="38">
        <f>+'Loss Expenses QTR-7'!G18</f>
        <v>751068.98</v>
      </c>
    </row>
    <row r="50" spans="1:8" ht="12.75">
      <c r="A50" s="372" t="s">
        <v>318</v>
      </c>
      <c r="B50" s="557">
        <f>'(8)Earned Incurred YTD6'!B41</f>
        <v>330321.9</v>
      </c>
      <c r="C50" s="557">
        <f>'(8)Earned Incurred YTD6'!C41</f>
        <v>0</v>
      </c>
      <c r="D50" s="557">
        <v>0</v>
      </c>
      <c r="E50" s="557">
        <v>0</v>
      </c>
      <c r="F50" s="364">
        <v>0</v>
      </c>
      <c r="G50" s="562">
        <f>SUM(B50:F50)</f>
        <v>330321.9</v>
      </c>
      <c r="H50" s="38">
        <f>+'(8)Earned Incurred YTD6'!B41</f>
        <v>330321.9</v>
      </c>
    </row>
    <row r="51" spans="1:8" ht="12.75">
      <c r="A51" s="372" t="s">
        <v>319</v>
      </c>
      <c r="B51" s="557">
        <f>'(8)Earned Incurred YTD6'!B32</f>
        <v>50113.97</v>
      </c>
      <c r="C51" s="557">
        <f>'(8)Earned Incurred YTD6'!C32</f>
        <v>0</v>
      </c>
      <c r="D51" s="557">
        <v>0</v>
      </c>
      <c r="E51" s="557">
        <v>0</v>
      </c>
      <c r="F51" s="364">
        <v>0</v>
      </c>
      <c r="G51" s="562">
        <f>SUM(B51:F51)</f>
        <v>50113.97</v>
      </c>
      <c r="H51" s="38">
        <f>+'(8)Earned Incurred YTD6'!B32</f>
        <v>50113.97</v>
      </c>
    </row>
    <row r="52" spans="1:9" ht="12.75">
      <c r="A52" s="458" t="s">
        <v>298</v>
      </c>
      <c r="B52" s="560">
        <f>SUM(B47:B51)-1</f>
        <v>13766095.60183647</v>
      </c>
      <c r="C52" s="560">
        <f>SUM(C47:C51)-1</f>
        <v>592407.392957</v>
      </c>
      <c r="D52" s="560">
        <f>SUM(D47:D51)</f>
        <v>103685.6942</v>
      </c>
      <c r="E52" s="560" t="e">
        <f>SUM(E47:E51)</f>
        <v>#REF!</v>
      </c>
      <c r="F52" s="560" t="e">
        <f>SUM(F47:F51)</f>
        <v>#REF!</v>
      </c>
      <c r="G52" s="561" t="e">
        <f>SUM(G47:G51)</f>
        <v>#REF!</v>
      </c>
      <c r="H52" s="40" t="e">
        <f>SUM(G47:G51)</f>
        <v>#REF!</v>
      </c>
      <c r="I52" s="258" t="e">
        <f>+G52-H52</f>
        <v>#REF!</v>
      </c>
    </row>
    <row r="53" spans="1:8" ht="12.75">
      <c r="A53" s="372"/>
      <c r="B53" s="557"/>
      <c r="C53" s="557"/>
      <c r="D53" s="557"/>
      <c r="E53" s="557"/>
      <c r="F53" s="557"/>
      <c r="G53" s="557"/>
      <c r="H53" s="38"/>
    </row>
    <row r="54" spans="1:8" ht="12.75">
      <c r="A54" s="457" t="s">
        <v>103</v>
      </c>
      <c r="B54" s="576"/>
      <c r="C54" s="576"/>
      <c r="D54" s="576"/>
      <c r="E54" s="576"/>
      <c r="F54" s="557"/>
      <c r="G54" s="557"/>
      <c r="H54" s="38"/>
    </row>
    <row r="55" spans="1:8" ht="12.75">
      <c r="A55" s="372" t="s">
        <v>273</v>
      </c>
      <c r="B55" s="557">
        <f>+'(7)Premiums YTD8'!B24</f>
        <v>0</v>
      </c>
      <c r="C55" s="557">
        <f>+'(7)Premiums YTD8'!C24</f>
        <v>8897126</v>
      </c>
      <c r="D55" s="557">
        <f>+'(7)Premiums YTD8'!D24</f>
        <v>0</v>
      </c>
      <c r="E55" s="557">
        <f>+'(7)Premiums YTD8'!E24</f>
        <v>0</v>
      </c>
      <c r="F55" s="557">
        <v>0</v>
      </c>
      <c r="G55" s="562">
        <f>SUM(B55:F55)</f>
        <v>8897126</v>
      </c>
      <c r="H55" s="38">
        <f>+'(7)Premiums YTD8'!G24</f>
        <v>8897126</v>
      </c>
    </row>
    <row r="56" spans="1:8" ht="12.75">
      <c r="A56" s="372" t="s">
        <v>316</v>
      </c>
      <c r="B56" s="557">
        <v>0</v>
      </c>
      <c r="C56" s="557">
        <f>+'(6)Losses Incurred YTD10'!C24</f>
        <v>4404123</v>
      </c>
      <c r="D56" s="557">
        <f>+'(6)Losses Incurred YTD10'!D24</f>
        <v>932658</v>
      </c>
      <c r="E56" s="557">
        <f>+'(6)Losses Incurred YTD10'!E24</f>
        <v>172030</v>
      </c>
      <c r="F56" s="557">
        <f>+'(6)Losses Incurred YTD10'!F24</f>
        <v>78667</v>
      </c>
      <c r="G56" s="562">
        <f>SUM(B56:F56)-1</f>
        <v>5587477</v>
      </c>
      <c r="H56" s="38">
        <f>+'(6)Losses Incurred YTD10'!H24</f>
        <v>5587477</v>
      </c>
    </row>
    <row r="57" spans="1:8" ht="12.75">
      <c r="A57" s="372" t="s">
        <v>320</v>
      </c>
      <c r="B57" s="557">
        <v>0</v>
      </c>
      <c r="C57" s="557">
        <f>+'(4)Loss Expenses YTD12'!C24</f>
        <v>343249</v>
      </c>
      <c r="D57" s="557">
        <f>+'(4)Loss Expenses YTD12'!D24</f>
        <v>103712</v>
      </c>
      <c r="E57" s="557">
        <f>+'(4)Loss Expenses YTD12'!E24</f>
        <v>19130</v>
      </c>
      <c r="F57" s="557">
        <f>+'(4)Loss Expenses YTD12'!F24</f>
        <v>8748</v>
      </c>
      <c r="G57" s="562">
        <f>SUM(B57:F57)-2</f>
        <v>474837</v>
      </c>
      <c r="H57" s="38">
        <f>+'(4)Loss Expenses YTD12'!H24</f>
        <v>474837</v>
      </c>
    </row>
    <row r="58" spans="1:8" ht="12.75">
      <c r="A58" s="372" t="s">
        <v>318</v>
      </c>
      <c r="B58" s="557">
        <v>0</v>
      </c>
      <c r="C58" s="557">
        <f>+'(8)Earned Incurred YTD6'!B42</f>
        <v>356304</v>
      </c>
      <c r="D58" s="557">
        <v>0</v>
      </c>
      <c r="E58" s="557">
        <v>0</v>
      </c>
      <c r="F58" s="557">
        <v>0</v>
      </c>
      <c r="G58" s="562">
        <f>SUM(B58:F58)</f>
        <v>356304</v>
      </c>
      <c r="H58" s="38">
        <f>+'(8)Earned Incurred YTD6'!B42</f>
        <v>356304</v>
      </c>
    </row>
    <row r="59" spans="1:8" ht="12.75">
      <c r="A59" s="372" t="s">
        <v>319</v>
      </c>
      <c r="B59" s="557">
        <v>0</v>
      </c>
      <c r="C59" s="557">
        <f>+'(8)Earned Incurred YTD6'!B33</f>
        <v>46320</v>
      </c>
      <c r="D59" s="557">
        <v>0</v>
      </c>
      <c r="E59" s="557">
        <v>0</v>
      </c>
      <c r="F59" s="557">
        <v>0</v>
      </c>
      <c r="G59" s="562">
        <f>SUM(B59:F59)</f>
        <v>46320</v>
      </c>
      <c r="H59" s="38">
        <f>+'(8)Earned Incurred YTD6'!B33</f>
        <v>46320</v>
      </c>
    </row>
    <row r="60" spans="1:8" ht="12.75">
      <c r="A60" s="372" t="s">
        <v>298</v>
      </c>
      <c r="B60" s="560">
        <f aca="true" t="shared" si="7" ref="B60:G60">SUM(B55:B59)</f>
        <v>0</v>
      </c>
      <c r="C60" s="560">
        <f t="shared" si="7"/>
        <v>14047122</v>
      </c>
      <c r="D60" s="560">
        <f t="shared" si="7"/>
        <v>1036370</v>
      </c>
      <c r="E60" s="560">
        <f t="shared" si="7"/>
        <v>191160</v>
      </c>
      <c r="F60" s="560">
        <f t="shared" si="7"/>
        <v>87415</v>
      </c>
      <c r="G60" s="561">
        <f t="shared" si="7"/>
        <v>15362064</v>
      </c>
      <c r="H60" s="40">
        <f>SUM(G55:G59)</f>
        <v>15362064</v>
      </c>
    </row>
    <row r="61" spans="1:7" ht="12.75">
      <c r="A61" s="372"/>
      <c r="B61" s="459"/>
      <c r="C61" s="459"/>
      <c r="D61" s="459"/>
      <c r="E61" s="459"/>
      <c r="F61" s="452"/>
      <c r="G61" s="452"/>
    </row>
    <row r="62" spans="1:8" s="122" customFormat="1" ht="13.5" thickBot="1">
      <c r="A62" s="454" t="s">
        <v>321</v>
      </c>
      <c r="B62" s="572" t="e">
        <f>B44-B52+B60</f>
        <v>#REF!</v>
      </c>
      <c r="C62" s="572" t="e">
        <f>C44-C52+C60</f>
        <v>#REF!</v>
      </c>
      <c r="D62" s="572" t="e">
        <f>D44-D52+D60</f>
        <v>#REF!</v>
      </c>
      <c r="E62" s="572" t="e">
        <f>E44-E52+E60</f>
        <v>#REF!</v>
      </c>
      <c r="F62" s="572" t="e">
        <f>F44-F52+F60</f>
        <v>#REF!</v>
      </c>
      <c r="G62" s="572" t="e">
        <f>SUM(B62:F62)-5</f>
        <v>#REF!</v>
      </c>
      <c r="H62" s="45">
        <f>+H44</f>
        <v>-62506.78999999995</v>
      </c>
    </row>
    <row r="63" spans="1:9" ht="13.5" thickTop="1">
      <c r="A63" s="372"/>
      <c r="B63" s="459"/>
      <c r="C63" s="459"/>
      <c r="D63" s="459"/>
      <c r="E63" s="459"/>
      <c r="F63" s="452"/>
      <c r="G63" s="695"/>
      <c r="H63" s="45" t="e">
        <f>+G62-H62</f>
        <v>#REF!</v>
      </c>
      <c r="I63" s="363"/>
    </row>
    <row r="64" spans="1:9" ht="12.75">
      <c r="A64" s="372"/>
      <c r="B64" s="459"/>
      <c r="C64" s="459"/>
      <c r="D64" s="459"/>
      <c r="E64" s="459"/>
      <c r="F64" s="452"/>
      <c r="G64" s="695"/>
      <c r="I64" s="45"/>
    </row>
    <row r="65" spans="1:7" ht="12.75">
      <c r="A65" s="372"/>
      <c r="B65" s="459"/>
      <c r="C65" s="459"/>
      <c r="D65" s="459"/>
      <c r="E65" s="459"/>
      <c r="F65" s="452"/>
      <c r="G65" s="866"/>
    </row>
    <row r="66" ht="12.75">
      <c r="G66" s="694"/>
    </row>
    <row r="67" ht="12.75">
      <c r="J67" s="118"/>
    </row>
    <row r="68" ht="12.75">
      <c r="J68" s="372"/>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8.xml><?xml version="1.0" encoding="utf-8"?>
<worksheet xmlns="http://schemas.openxmlformats.org/spreadsheetml/2006/main" xmlns:r="http://schemas.openxmlformats.org/officeDocument/2006/relationships">
  <dimension ref="A1:H162"/>
  <sheetViews>
    <sheetView zoomScale="75" zoomScaleNormal="75" workbookViewId="0" topLeftCell="B40">
      <selection activeCell="E55" sqref="A1:E55"/>
    </sheetView>
  </sheetViews>
  <sheetFormatPr defaultColWidth="9.140625" defaultRowHeight="12.75"/>
  <cols>
    <col min="1" max="1" width="14.00390625" style="295" hidden="1" customWidth="1"/>
    <col min="2" max="2" width="56.8515625" style="22" customWidth="1"/>
    <col min="3" max="3" width="16.28125" style="358" customWidth="1"/>
    <col min="4" max="4" width="17.140625" style="358" customWidth="1"/>
    <col min="5" max="5" width="18.421875" style="358" customWidth="1"/>
    <col min="6" max="6" width="14.57421875" style="358" customWidth="1"/>
    <col min="7" max="7" width="12.00390625" style="22" bestFit="1" customWidth="1"/>
    <col min="8" max="16384" width="9.140625" style="22" customWidth="1"/>
  </cols>
  <sheetData>
    <row r="1" spans="1:6" s="266" customFormat="1" ht="27" customHeight="1">
      <c r="A1" s="292"/>
      <c r="B1" s="939" t="s">
        <v>260</v>
      </c>
      <c r="C1" s="940"/>
      <c r="D1" s="940"/>
      <c r="E1" s="941"/>
      <c r="F1" s="891"/>
    </row>
    <row r="2" spans="1:6" s="46" customFormat="1" ht="18" customHeight="1">
      <c r="A2" s="293"/>
      <c r="B2" s="942"/>
      <c r="C2" s="906"/>
      <c r="D2" s="906"/>
      <c r="E2" s="943"/>
      <c r="F2" s="892"/>
    </row>
    <row r="3" spans="1:6" s="46" customFormat="1" ht="20.25">
      <c r="A3" s="293"/>
      <c r="B3" s="944" t="s">
        <v>222</v>
      </c>
      <c r="C3" s="945"/>
      <c r="D3" s="945"/>
      <c r="E3" s="946"/>
      <c r="F3" s="892"/>
    </row>
    <row r="4" spans="1:6" s="46" customFormat="1" ht="18.75">
      <c r="A4" s="293"/>
      <c r="B4" s="936" t="s">
        <v>322</v>
      </c>
      <c r="C4" s="937"/>
      <c r="D4" s="937"/>
      <c r="E4" s="938"/>
      <c r="F4" s="892"/>
    </row>
    <row r="5" spans="1:6" s="46" customFormat="1" ht="18.75">
      <c r="A5" s="293"/>
      <c r="B5" s="936" t="str">
        <f>+'Equity QTR-3'!A4</f>
        <v>QTD PERIOD ENDED MARCH 31, 2004</v>
      </c>
      <c r="C5" s="937"/>
      <c r="D5" s="937"/>
      <c r="E5" s="938"/>
      <c r="F5" s="892"/>
    </row>
    <row r="6" spans="1:6" s="46" customFormat="1" ht="15" customHeight="1">
      <c r="A6" s="293"/>
      <c r="B6" s="460"/>
      <c r="C6" s="348"/>
      <c r="D6" s="348"/>
      <c r="E6" s="577"/>
      <c r="F6" s="892"/>
    </row>
    <row r="7" spans="1:6" s="19" customFormat="1" ht="34.5" customHeight="1">
      <c r="A7" s="48"/>
      <c r="B7" s="461"/>
      <c r="C7" s="348"/>
      <c r="D7" s="348"/>
      <c r="E7" s="577"/>
      <c r="F7" s="130"/>
    </row>
    <row r="8" spans="1:6" s="19" customFormat="1" ht="15">
      <c r="A8" s="294" t="s">
        <v>367</v>
      </c>
      <c r="B8" s="462" t="s">
        <v>323</v>
      </c>
      <c r="C8" s="578" t="s">
        <v>10</v>
      </c>
      <c r="D8" s="579"/>
      <c r="E8" s="580"/>
      <c r="F8" s="130"/>
    </row>
    <row r="9" spans="1:6" s="19" customFormat="1" ht="15">
      <c r="A9" s="296" t="s">
        <v>193</v>
      </c>
      <c r="B9" s="462"/>
      <c r="C9" s="581" t="s">
        <v>210</v>
      </c>
      <c r="D9" s="582"/>
      <c r="E9" s="583"/>
      <c r="F9" s="130"/>
    </row>
    <row r="10" spans="1:6" s="19" customFormat="1" ht="15">
      <c r="A10" s="48"/>
      <c r="B10" s="463"/>
      <c r="C10" s="584" t="s">
        <v>270</v>
      </c>
      <c r="D10" s="585"/>
      <c r="E10" s="586"/>
      <c r="F10" s="130"/>
    </row>
    <row r="11" spans="1:6" s="19" customFormat="1" ht="15">
      <c r="A11" s="48">
        <v>41000</v>
      </c>
      <c r="B11" s="464" t="s">
        <v>324</v>
      </c>
      <c r="C11" s="587"/>
      <c r="D11" s="540">
        <f>'Premiums QTD-5'!G11</f>
        <v>5676242</v>
      </c>
      <c r="E11" s="588"/>
      <c r="F11" s="130"/>
    </row>
    <row r="12" spans="1:6" s="19" customFormat="1" ht="15">
      <c r="A12" s="48"/>
      <c r="B12" s="464"/>
      <c r="C12" s="587"/>
      <c r="D12" s="548"/>
      <c r="E12" s="588"/>
      <c r="F12" s="130"/>
    </row>
    <row r="13" spans="1:6" s="19" customFormat="1" ht="15">
      <c r="A13" s="48"/>
      <c r="B13" s="465" t="s">
        <v>325</v>
      </c>
      <c r="C13" s="587">
        <f>+'Premiums QTD-5'!G17</f>
        <v>11049613</v>
      </c>
      <c r="D13" s="125"/>
      <c r="E13" s="588"/>
      <c r="F13" s="130"/>
    </row>
    <row r="14" spans="1:6" s="19" customFormat="1" ht="15">
      <c r="A14" s="48"/>
      <c r="B14" s="465" t="s">
        <v>344</v>
      </c>
      <c r="C14" s="589">
        <v>10749487</v>
      </c>
      <c r="D14" s="125"/>
      <c r="E14" s="588"/>
      <c r="F14" s="130"/>
    </row>
    <row r="15" spans="1:6" s="19" customFormat="1" ht="15" customHeight="1">
      <c r="A15" s="48">
        <v>41100</v>
      </c>
      <c r="B15" s="465" t="s">
        <v>345</v>
      </c>
      <c r="C15" s="587"/>
      <c r="D15" s="590">
        <f>C14-C13</f>
        <v>-300126</v>
      </c>
      <c r="E15" s="588"/>
      <c r="F15" s="130"/>
    </row>
    <row r="16" spans="1:6" s="19" customFormat="1" ht="15" customHeight="1">
      <c r="A16" s="48"/>
      <c r="B16" s="464" t="s">
        <v>346</v>
      </c>
      <c r="C16" s="587"/>
      <c r="D16" s="125"/>
      <c r="E16" s="648">
        <f>D11+D15</f>
        <v>5376116</v>
      </c>
      <c r="F16" s="130"/>
    </row>
    <row r="17" spans="1:5" s="19" customFormat="1" ht="15">
      <c r="A17" s="48" t="s">
        <v>368</v>
      </c>
      <c r="B17" s="465" t="s">
        <v>347</v>
      </c>
      <c r="C17" s="587"/>
      <c r="D17" s="125">
        <f>+'[1]TB03-31-04(Final)'!E384</f>
        <v>3791762.3499999996</v>
      </c>
      <c r="E17" s="588"/>
    </row>
    <row r="18" spans="1:5" s="19" customFormat="1" ht="15">
      <c r="A18" s="48">
        <v>51108</v>
      </c>
      <c r="B18" s="465" t="s">
        <v>75</v>
      </c>
      <c r="C18" s="587"/>
      <c r="D18" s="590">
        <f>-'[1]TB03-31-04(Final)'!E405</f>
        <v>8000.969999999999</v>
      </c>
      <c r="E18" s="588"/>
    </row>
    <row r="19" spans="1:6" s="19" customFormat="1" ht="15">
      <c r="A19" s="48"/>
      <c r="B19" s="464" t="s">
        <v>349</v>
      </c>
      <c r="C19" s="587"/>
      <c r="D19" s="125">
        <f>D17-D18</f>
        <v>3783761.3799999994</v>
      </c>
      <c r="E19" s="588"/>
      <c r="F19" s="130"/>
    </row>
    <row r="20" spans="1:6" s="19" customFormat="1" ht="15">
      <c r="A20" s="48"/>
      <c r="B20" s="465" t="s">
        <v>350</v>
      </c>
      <c r="C20" s="587">
        <f>+'Losses Incurred QTR-6'!G18+'Losses Incurred QTR-6'!G24</f>
        <v>7562583.869999999</v>
      </c>
      <c r="D20" s="125" t="s">
        <v>270</v>
      </c>
      <c r="E20" s="588"/>
      <c r="F20" s="130"/>
    </row>
    <row r="21" spans="1:6" s="19" customFormat="1" ht="15">
      <c r="A21" s="48"/>
      <c r="B21" s="465" t="s">
        <v>351</v>
      </c>
      <c r="C21" s="589">
        <v>7240546</v>
      </c>
      <c r="D21" s="125"/>
      <c r="E21" s="588"/>
      <c r="F21" s="130"/>
    </row>
    <row r="22" spans="1:6" s="19" customFormat="1" ht="15">
      <c r="A22" s="48" t="s">
        <v>369</v>
      </c>
      <c r="B22" s="465" t="s">
        <v>352</v>
      </c>
      <c r="C22" s="592"/>
      <c r="D22" s="590">
        <f>C20-C21</f>
        <v>322037.8699999992</v>
      </c>
      <c r="E22" s="588"/>
      <c r="F22" s="130"/>
    </row>
    <row r="23" spans="1:7" s="19" customFormat="1" ht="15">
      <c r="A23" s="48"/>
      <c r="B23" s="464" t="s">
        <v>353</v>
      </c>
      <c r="C23" s="587"/>
      <c r="D23" s="125"/>
      <c r="E23" s="588">
        <f>D19+D22</f>
        <v>4105799.2499999986</v>
      </c>
      <c r="F23" s="125"/>
      <c r="G23" s="116"/>
    </row>
    <row r="24" spans="1:6" s="19" customFormat="1" ht="15">
      <c r="A24" s="48">
        <v>51200</v>
      </c>
      <c r="B24" s="465" t="s">
        <v>354</v>
      </c>
      <c r="C24" s="587"/>
      <c r="D24" s="125">
        <f>SUM('[10]TB03-31-04(Final)'!$F$464:$F$480)-1</f>
        <v>299062.68</v>
      </c>
      <c r="E24" s="588"/>
      <c r="F24" s="345"/>
    </row>
    <row r="25" spans="1:6" s="19" customFormat="1" ht="15">
      <c r="A25" s="48">
        <v>51300</v>
      </c>
      <c r="B25" s="465" t="s">
        <v>355</v>
      </c>
      <c r="C25" s="587"/>
      <c r="D25" s="590">
        <f>+'[1](1)LEP-QTD16JE5'!F44</f>
        <v>141208.19</v>
      </c>
      <c r="E25" s="588"/>
      <c r="F25" s="345"/>
    </row>
    <row r="26" spans="1:6" s="19" customFormat="1" ht="15">
      <c r="A26" s="48"/>
      <c r="B26" s="464" t="s">
        <v>356</v>
      </c>
      <c r="C26" s="587"/>
      <c r="D26" s="125">
        <f>D24+D25</f>
        <v>440270.87</v>
      </c>
      <c r="E26" s="588"/>
      <c r="F26" s="125"/>
    </row>
    <row r="27" spans="1:6" s="19" customFormat="1" ht="15">
      <c r="A27" s="48"/>
      <c r="B27" s="465" t="s">
        <v>357</v>
      </c>
      <c r="C27" s="587">
        <f>'Loss Expenses QTR-7'!G18</f>
        <v>751068.98</v>
      </c>
      <c r="D27" s="125"/>
      <c r="E27" s="588"/>
      <c r="F27" s="345"/>
    </row>
    <row r="28" spans="1:6" s="19" customFormat="1" ht="15">
      <c r="A28" s="48"/>
      <c r="B28" s="465" t="s">
        <v>358</v>
      </c>
      <c r="C28" s="589">
        <v>717188</v>
      </c>
      <c r="D28" s="125"/>
      <c r="E28" s="588"/>
      <c r="F28" s="125"/>
    </row>
    <row r="29" spans="1:8" s="19" customFormat="1" ht="15">
      <c r="A29" s="48" t="s">
        <v>370</v>
      </c>
      <c r="B29" s="465" t="s">
        <v>359</v>
      </c>
      <c r="C29" s="587"/>
      <c r="D29" s="590">
        <f>C27-C28</f>
        <v>33880.97999999998</v>
      </c>
      <c r="E29" s="588"/>
      <c r="F29" s="345"/>
      <c r="H29" s="116"/>
    </row>
    <row r="30" spans="1:7" s="19" customFormat="1" ht="15">
      <c r="A30" s="48"/>
      <c r="B30" s="464" t="s">
        <v>360</v>
      </c>
      <c r="C30" s="587"/>
      <c r="D30" s="125"/>
      <c r="E30" s="591">
        <f>D26+D29</f>
        <v>474151.85</v>
      </c>
      <c r="F30" s="125"/>
      <c r="G30" s="116"/>
    </row>
    <row r="31" spans="1:7" s="19" customFormat="1" ht="15">
      <c r="A31" s="48"/>
      <c r="B31" s="464" t="s">
        <v>361</v>
      </c>
      <c r="C31" s="587"/>
      <c r="D31" s="125"/>
      <c r="E31" s="888">
        <f>E23+E30</f>
        <v>4579951.099999999</v>
      </c>
      <c r="F31" s="125"/>
      <c r="G31" s="116"/>
    </row>
    <row r="32" spans="1:7" s="19" customFormat="1" ht="15">
      <c r="A32" s="48"/>
      <c r="B32" s="465" t="s">
        <v>362</v>
      </c>
      <c r="C32" s="587"/>
      <c r="D32" s="125">
        <f>27756.18+4464.57+1113.79</f>
        <v>33334.54</v>
      </c>
      <c r="E32" s="588"/>
      <c r="F32" s="345"/>
      <c r="G32" s="116"/>
    </row>
    <row r="33" spans="1:8" s="19" customFormat="1" ht="15">
      <c r="A33" s="48"/>
      <c r="B33" s="465" t="s">
        <v>363</v>
      </c>
      <c r="C33" s="587">
        <f>-'[1]TB03-31-04(Final)'!G199</f>
        <v>50113.97</v>
      </c>
      <c r="D33" s="125"/>
      <c r="E33" s="588"/>
      <c r="F33" s="130"/>
      <c r="H33" s="116"/>
    </row>
    <row r="34" spans="1:8" s="19" customFormat="1" ht="15">
      <c r="A34" s="48"/>
      <c r="B34" s="465" t="s">
        <v>364</v>
      </c>
      <c r="C34" s="589">
        <v>61135</v>
      </c>
      <c r="D34" s="125" t="s">
        <v>270</v>
      </c>
      <c r="E34" s="588"/>
      <c r="F34" s="130"/>
      <c r="H34" s="116"/>
    </row>
    <row r="35" spans="1:6" s="19" customFormat="1" ht="15">
      <c r="A35" s="48">
        <v>64000</v>
      </c>
      <c r="B35" s="465" t="s">
        <v>58</v>
      </c>
      <c r="C35" s="587"/>
      <c r="D35" s="590">
        <f>C33-C34</f>
        <v>-11021.029999999999</v>
      </c>
      <c r="E35" s="588"/>
      <c r="F35" s="130"/>
    </row>
    <row r="36" spans="1:6" s="19" customFormat="1" ht="15" hidden="1">
      <c r="A36" s="48"/>
      <c r="B36" s="465"/>
      <c r="C36" s="587"/>
      <c r="D36" s="125"/>
      <c r="E36" s="588"/>
      <c r="F36" s="130"/>
    </row>
    <row r="37" spans="1:7" s="19" customFormat="1" ht="15">
      <c r="A37" s="48"/>
      <c r="B37" s="464" t="s">
        <v>59</v>
      </c>
      <c r="C37" s="587"/>
      <c r="D37" s="125" t="s">
        <v>270</v>
      </c>
      <c r="E37" s="588">
        <f>D32+D35+D36</f>
        <v>22313.510000000002</v>
      </c>
      <c r="F37" s="130"/>
      <c r="G37" s="116"/>
    </row>
    <row r="38" spans="1:6" s="19" customFormat="1" ht="15" customHeight="1">
      <c r="A38" s="48" t="s">
        <v>371</v>
      </c>
      <c r="B38" s="465" t="s">
        <v>472</v>
      </c>
      <c r="C38" s="587"/>
      <c r="D38" s="125">
        <f>+'[1]TB03-31-04(Final)'!E630</f>
        <v>521247.75000000006</v>
      </c>
      <c r="E38" s="722"/>
      <c r="F38" s="130"/>
    </row>
    <row r="39" spans="1:6" s="19" customFormat="1" ht="13.5" customHeight="1">
      <c r="A39" s="48" t="s">
        <v>372</v>
      </c>
      <c r="B39" s="465" t="s">
        <v>448</v>
      </c>
      <c r="C39" s="587"/>
      <c r="D39" s="125">
        <f>+'[1]TB03-31-04(Final)'!E648-'[1]TB03-31-04(Final)'!E644</f>
        <v>108491.93</v>
      </c>
      <c r="E39" s="588"/>
      <c r="F39" s="893"/>
    </row>
    <row r="40" spans="1:7" s="19" customFormat="1" ht="13.5" customHeight="1">
      <c r="A40" s="48" t="s">
        <v>373</v>
      </c>
      <c r="B40" s="465" t="s">
        <v>148</v>
      </c>
      <c r="C40" s="587"/>
      <c r="D40" s="590">
        <f>+'[1]TB03-31-04(Final)'!E1006-1</f>
        <v>932394.3699999998</v>
      </c>
      <c r="E40" s="588"/>
      <c r="F40" s="893"/>
      <c r="G40" s="130"/>
    </row>
    <row r="41" spans="1:7" s="19" customFormat="1" ht="13.5" customHeight="1">
      <c r="A41" s="48"/>
      <c r="B41" s="464" t="s">
        <v>149</v>
      </c>
      <c r="C41" s="587"/>
      <c r="D41" s="125">
        <f>SUM(D38:D40)</f>
        <v>1562134.0499999998</v>
      </c>
      <c r="E41" s="588"/>
      <c r="F41" s="893"/>
      <c r="G41" s="130"/>
    </row>
    <row r="42" spans="1:6" s="19" customFormat="1" ht="15">
      <c r="A42" s="48"/>
      <c r="B42" s="465" t="s">
        <v>363</v>
      </c>
      <c r="C42" s="587">
        <f>-'[1]TB03-31-04(Final)'!G217</f>
        <v>330321.9</v>
      </c>
      <c r="D42" s="125"/>
      <c r="E42" s="588"/>
      <c r="F42" s="130"/>
    </row>
    <row r="43" spans="1:6" s="19" customFormat="1" ht="15">
      <c r="A43" s="48"/>
      <c r="B43" s="465" t="s">
        <v>364</v>
      </c>
      <c r="C43" s="589">
        <v>293448</v>
      </c>
      <c r="D43" s="125" t="s">
        <v>270</v>
      </c>
      <c r="E43" s="588"/>
      <c r="F43" s="130"/>
    </row>
    <row r="44" spans="1:6" s="19" customFormat="1" ht="15">
      <c r="A44" s="48"/>
      <c r="B44" s="465" t="s">
        <v>150</v>
      </c>
      <c r="C44" s="587"/>
      <c r="D44" s="590">
        <f>+C42-C43</f>
        <v>36873.90000000002</v>
      </c>
      <c r="E44" s="588"/>
      <c r="F44" s="130"/>
    </row>
    <row r="45" spans="1:7" s="19" customFormat="1" ht="15">
      <c r="A45" s="48"/>
      <c r="B45" s="464" t="s">
        <v>223</v>
      </c>
      <c r="C45" s="587"/>
      <c r="D45" s="125"/>
      <c r="E45" s="591">
        <f>SUM(D41:D44)</f>
        <v>1599007.9499999997</v>
      </c>
      <c r="F45" s="130"/>
      <c r="G45" s="130"/>
    </row>
    <row r="46" spans="1:7" s="19" customFormat="1" ht="15">
      <c r="A46" s="48"/>
      <c r="B46" s="464" t="s">
        <v>151</v>
      </c>
      <c r="C46" s="587"/>
      <c r="D46" s="125"/>
      <c r="E46" s="643">
        <f>SUM(E37:E45)+1</f>
        <v>1621322.4599999997</v>
      </c>
      <c r="F46" s="130"/>
      <c r="G46" s="123"/>
    </row>
    <row r="47" spans="1:7" s="19" customFormat="1" ht="15">
      <c r="A47" s="48"/>
      <c r="B47" s="464" t="s">
        <v>152</v>
      </c>
      <c r="C47" s="587"/>
      <c r="D47" s="125"/>
      <c r="E47" s="889">
        <f>+E31+E46-1</f>
        <v>6201272.559999999</v>
      </c>
      <c r="F47" s="130"/>
      <c r="G47" s="123"/>
    </row>
    <row r="48" spans="1:7" s="19" customFormat="1" ht="15">
      <c r="A48" s="48"/>
      <c r="B48" s="464" t="s">
        <v>21</v>
      </c>
      <c r="C48" s="587"/>
      <c r="D48" s="125"/>
      <c r="E48" s="697">
        <f>E16-E31-E46+1</f>
        <v>-825156.5599999984</v>
      </c>
      <c r="F48" s="50"/>
      <c r="G48" s="130"/>
    </row>
    <row r="49" spans="1:7" s="19" customFormat="1" ht="15">
      <c r="A49" s="48" t="s">
        <v>375</v>
      </c>
      <c r="B49" s="465" t="s">
        <v>203</v>
      </c>
      <c r="C49" s="587"/>
      <c r="D49" s="125">
        <f>-'[1]TB03-31-04(Final)'!E345-'[1]TB03-31-04(Final)'!E347-'[1]TB03-31-04(Final)'!E356</f>
        <v>28209.62</v>
      </c>
      <c r="E49" s="596"/>
      <c r="F49" s="116"/>
      <c r="G49" s="116"/>
    </row>
    <row r="50" spans="1:6" s="19" customFormat="1" ht="15">
      <c r="A50" s="48"/>
      <c r="B50" s="465" t="s">
        <v>380</v>
      </c>
      <c r="C50" s="587">
        <f>+'[1]TB03-31-04(Final)'!G25</f>
        <v>10038.47</v>
      </c>
      <c r="D50" s="125"/>
      <c r="E50" s="596"/>
      <c r="F50" s="130"/>
    </row>
    <row r="51" spans="1:6" s="19" customFormat="1" ht="15">
      <c r="A51" s="48"/>
      <c r="B51" s="465" t="s">
        <v>381</v>
      </c>
      <c r="C51" s="589">
        <v>8748</v>
      </c>
      <c r="D51" s="125" t="s">
        <v>270</v>
      </c>
      <c r="E51" s="596"/>
      <c r="F51" s="130"/>
    </row>
    <row r="52" spans="1:6" s="19" customFormat="1" ht="15">
      <c r="A52" s="48"/>
      <c r="B52" s="465" t="s">
        <v>382</v>
      </c>
      <c r="C52" s="587"/>
      <c r="D52" s="590">
        <f>C50-C51</f>
        <v>1290.4699999999993</v>
      </c>
      <c r="E52" s="596"/>
      <c r="F52" s="130"/>
    </row>
    <row r="53" spans="1:6" s="19" customFormat="1" ht="15">
      <c r="A53" s="48" t="s">
        <v>374</v>
      </c>
      <c r="B53" s="464" t="s">
        <v>204</v>
      </c>
      <c r="C53" s="587"/>
      <c r="D53" s="125"/>
      <c r="E53" s="597">
        <f>D49+D52</f>
        <v>29500.089999999997</v>
      </c>
      <c r="F53" s="130"/>
    </row>
    <row r="54" spans="1:7" s="19" customFormat="1" ht="15">
      <c r="A54" s="48"/>
      <c r="B54" s="466"/>
      <c r="C54" s="587"/>
      <c r="D54" s="125"/>
      <c r="E54" s="552"/>
      <c r="F54" s="130"/>
      <c r="G54" s="116"/>
    </row>
    <row r="55" spans="1:7" s="19" customFormat="1" ht="15">
      <c r="A55" s="48"/>
      <c r="B55" s="467" t="s">
        <v>22</v>
      </c>
      <c r="C55" s="589"/>
      <c r="D55" s="590"/>
      <c r="E55" s="614">
        <f>E48+E53-1</f>
        <v>-795657.4699999985</v>
      </c>
      <c r="F55" s="894"/>
      <c r="G55" s="356"/>
    </row>
    <row r="56" spans="1:5" s="19" customFormat="1" ht="15">
      <c r="A56" s="48"/>
      <c r="B56" s="468"/>
      <c r="C56" s="314"/>
      <c r="D56" s="314"/>
      <c r="E56" s="865"/>
    </row>
    <row r="57" spans="1:6" s="19" customFormat="1" ht="15">
      <c r="A57" s="48"/>
      <c r="B57" s="468"/>
      <c r="C57" s="314"/>
      <c r="D57" s="314"/>
      <c r="E57" s="116"/>
      <c r="F57" s="125"/>
    </row>
    <row r="58" spans="1:6" s="19" customFormat="1" ht="15">
      <c r="A58" s="48"/>
      <c r="B58" s="49"/>
      <c r="C58" s="125"/>
      <c r="D58" s="125"/>
      <c r="E58" s="125"/>
      <c r="F58" s="130"/>
    </row>
    <row r="59" spans="1:6" s="19" customFormat="1" ht="15">
      <c r="A59" s="48"/>
      <c r="B59" s="49"/>
      <c r="C59" s="125"/>
      <c r="D59" s="125"/>
      <c r="E59" s="125"/>
      <c r="F59" s="130"/>
    </row>
    <row r="60" spans="1:6" s="19" customFormat="1" ht="15">
      <c r="A60" s="48"/>
      <c r="B60" s="49"/>
      <c r="C60" s="125"/>
      <c r="D60" s="125"/>
      <c r="E60" s="125"/>
      <c r="F60" s="130"/>
    </row>
    <row r="61" spans="1:6" s="19" customFormat="1" ht="15">
      <c r="A61" s="48"/>
      <c r="B61" s="49"/>
      <c r="C61" s="125"/>
      <c r="D61" s="125"/>
      <c r="E61" s="125"/>
      <c r="F61" s="130"/>
    </row>
    <row r="62" spans="1:6" s="19" customFormat="1" ht="15">
      <c r="A62" s="48"/>
      <c r="B62" s="49"/>
      <c r="C62" s="125"/>
      <c r="D62" s="125"/>
      <c r="E62" s="125"/>
      <c r="F62" s="130"/>
    </row>
    <row r="63" spans="1:6" s="19" customFormat="1" ht="15">
      <c r="A63" s="48"/>
      <c r="B63" s="49"/>
      <c r="C63" s="125"/>
      <c r="D63" s="125"/>
      <c r="E63" s="125"/>
      <c r="F63" s="130"/>
    </row>
    <row r="64" spans="1:6" s="19" customFormat="1" ht="15">
      <c r="A64" s="48"/>
      <c r="B64" s="49"/>
      <c r="C64" s="125"/>
      <c r="D64" s="125"/>
      <c r="E64" s="125"/>
      <c r="F64" s="130"/>
    </row>
    <row r="65" spans="1:6" s="19" customFormat="1" ht="15">
      <c r="A65" s="48"/>
      <c r="B65" s="117"/>
      <c r="C65" s="360"/>
      <c r="D65" s="357"/>
      <c r="E65" s="125"/>
      <c r="F65" s="130"/>
    </row>
    <row r="66" spans="1:6" s="19" customFormat="1" ht="15">
      <c r="A66" s="48"/>
      <c r="B66" s="117"/>
      <c r="C66" s="360"/>
      <c r="D66" s="357"/>
      <c r="E66" s="125"/>
      <c r="F66" s="130"/>
    </row>
    <row r="67" spans="1:6" s="19" customFormat="1" ht="15">
      <c r="A67" s="48"/>
      <c r="B67" s="117"/>
      <c r="C67" s="360"/>
      <c r="D67" s="357"/>
      <c r="E67" s="125"/>
      <c r="F67" s="130"/>
    </row>
    <row r="68" spans="1:6" s="19" customFormat="1" ht="15">
      <c r="A68" s="48"/>
      <c r="B68" s="117"/>
      <c r="C68" s="360"/>
      <c r="D68" s="359"/>
      <c r="E68" s="125"/>
      <c r="F68" s="130"/>
    </row>
    <row r="69" spans="1:6" s="19" customFormat="1" ht="15">
      <c r="A69" s="48"/>
      <c r="B69" s="117"/>
      <c r="C69" s="360"/>
      <c r="D69" s="357"/>
      <c r="E69" s="125"/>
      <c r="F69" s="130"/>
    </row>
    <row r="70" spans="1:6" s="19" customFormat="1" ht="15">
      <c r="A70" s="48"/>
      <c r="C70" s="360"/>
      <c r="D70" s="357"/>
      <c r="E70" s="125"/>
      <c r="F70" s="130"/>
    </row>
    <row r="71" spans="1:6" s="19" customFormat="1" ht="15">
      <c r="A71" s="48"/>
      <c r="B71" s="117"/>
      <c r="C71" s="360"/>
      <c r="D71" s="357"/>
      <c r="E71" s="125"/>
      <c r="F71" s="130"/>
    </row>
    <row r="72" spans="1:6" s="19" customFormat="1" ht="15">
      <c r="A72" s="48"/>
      <c r="B72" s="117"/>
      <c r="C72" s="360"/>
      <c r="D72" s="357"/>
      <c r="E72" s="125"/>
      <c r="F72" s="130"/>
    </row>
    <row r="73" spans="1:6" s="19" customFormat="1" ht="15">
      <c r="A73" s="48"/>
      <c r="B73" s="117"/>
      <c r="C73" s="130"/>
      <c r="D73" s="357"/>
      <c r="E73" s="125"/>
      <c r="F73" s="130"/>
    </row>
    <row r="74" spans="1:6" s="19" customFormat="1" ht="15">
      <c r="A74" s="48"/>
      <c r="B74" s="49"/>
      <c r="C74" s="125"/>
      <c r="D74" s="359"/>
      <c r="E74" s="125"/>
      <c r="F74" s="130"/>
    </row>
    <row r="75" spans="1:6" s="19" customFormat="1" ht="15">
      <c r="A75" s="48"/>
      <c r="B75" s="49"/>
      <c r="C75" s="125"/>
      <c r="D75" s="125"/>
      <c r="E75" s="125"/>
      <c r="F75" s="130"/>
    </row>
    <row r="76" spans="1:6" s="19" customFormat="1" ht="15">
      <c r="A76" s="48"/>
      <c r="B76" s="49"/>
      <c r="C76" s="125"/>
      <c r="D76" s="125"/>
      <c r="E76" s="125"/>
      <c r="F76" s="130"/>
    </row>
    <row r="77" spans="1:6" s="19" customFormat="1" ht="15">
      <c r="A77" s="48"/>
      <c r="B77" s="49"/>
      <c r="C77" s="125"/>
      <c r="D77" s="125"/>
      <c r="E77" s="125"/>
      <c r="F77" s="130"/>
    </row>
    <row r="78" spans="1:6" s="19" customFormat="1" ht="15">
      <c r="A78" s="48"/>
      <c r="B78" s="49"/>
      <c r="C78" s="125"/>
      <c r="D78" s="125"/>
      <c r="E78" s="125"/>
      <c r="F78" s="130"/>
    </row>
    <row r="79" spans="1:6" s="19" customFormat="1" ht="15">
      <c r="A79" s="48"/>
      <c r="B79" s="49"/>
      <c r="C79" s="125"/>
      <c r="D79" s="125"/>
      <c r="E79" s="125"/>
      <c r="F79" s="130"/>
    </row>
    <row r="80" spans="1:6" s="19" customFormat="1" ht="15">
      <c r="A80" s="48"/>
      <c r="B80" s="49"/>
      <c r="C80" s="125"/>
      <c r="D80" s="125"/>
      <c r="E80" s="125"/>
      <c r="F80" s="130"/>
    </row>
    <row r="81" spans="1:6" s="19" customFormat="1" ht="15">
      <c r="A81" s="48"/>
      <c r="B81" s="49"/>
      <c r="C81" s="125"/>
      <c r="D81" s="125"/>
      <c r="E81" s="125"/>
      <c r="F81" s="130"/>
    </row>
    <row r="82" spans="1:6" s="19" customFormat="1" ht="15">
      <c r="A82" s="48"/>
      <c r="B82" s="49"/>
      <c r="C82" s="125"/>
      <c r="D82" s="125"/>
      <c r="E82" s="125"/>
      <c r="F82" s="130"/>
    </row>
    <row r="83" spans="1:6" s="19" customFormat="1" ht="15">
      <c r="A83" s="48"/>
      <c r="B83" s="49"/>
      <c r="C83" s="125"/>
      <c r="D83" s="125"/>
      <c r="E83" s="125"/>
      <c r="F83" s="130"/>
    </row>
    <row r="84" spans="1:6" s="19" customFormat="1" ht="15">
      <c r="A84" s="48"/>
      <c r="B84" s="49"/>
      <c r="C84" s="125"/>
      <c r="D84" s="125"/>
      <c r="E84" s="125"/>
      <c r="F84" s="130"/>
    </row>
    <row r="85" spans="1:6" s="19" customFormat="1" ht="15">
      <c r="A85" s="48"/>
      <c r="B85" s="49"/>
      <c r="C85" s="125"/>
      <c r="D85" s="125"/>
      <c r="E85" s="125"/>
      <c r="F85" s="130"/>
    </row>
    <row r="86" spans="1:6" s="19" customFormat="1" ht="15">
      <c r="A86" s="48"/>
      <c r="B86" s="49"/>
      <c r="C86" s="125"/>
      <c r="D86" s="125"/>
      <c r="E86" s="125"/>
      <c r="F86" s="130"/>
    </row>
    <row r="87" spans="1:6" s="19" customFormat="1" ht="15">
      <c r="A87" s="48"/>
      <c r="B87" s="49"/>
      <c r="C87" s="125"/>
      <c r="D87" s="125"/>
      <c r="E87" s="125"/>
      <c r="F87" s="130"/>
    </row>
    <row r="88" spans="1:6" s="19" customFormat="1" ht="15">
      <c r="A88" s="48"/>
      <c r="B88" s="49"/>
      <c r="C88" s="125"/>
      <c r="D88" s="125"/>
      <c r="E88" s="125"/>
      <c r="F88" s="130"/>
    </row>
    <row r="89" spans="1:6" s="19" customFormat="1" ht="15">
      <c r="A89" s="48"/>
      <c r="B89" s="49"/>
      <c r="C89" s="125"/>
      <c r="D89" s="125"/>
      <c r="E89" s="125"/>
      <c r="F89" s="130"/>
    </row>
    <row r="90" spans="1:6" s="19" customFormat="1" ht="15">
      <c r="A90" s="48"/>
      <c r="B90" s="49"/>
      <c r="C90" s="125"/>
      <c r="D90" s="130"/>
      <c r="E90" s="130"/>
      <c r="F90" s="130"/>
    </row>
    <row r="91" spans="1:6" s="19" customFormat="1" ht="15">
      <c r="A91" s="48"/>
      <c r="B91" s="49"/>
      <c r="C91" s="125"/>
      <c r="D91" s="130"/>
      <c r="E91" s="130"/>
      <c r="F91" s="130"/>
    </row>
    <row r="92" spans="1:6" s="19" customFormat="1" ht="15">
      <c r="A92" s="48"/>
      <c r="B92" s="49"/>
      <c r="C92" s="125"/>
      <c r="D92" s="130"/>
      <c r="E92" s="130"/>
      <c r="F92" s="130"/>
    </row>
    <row r="93" spans="1:6" s="19" customFormat="1" ht="15">
      <c r="A93" s="48"/>
      <c r="B93" s="49"/>
      <c r="C93" s="130"/>
      <c r="D93" s="130"/>
      <c r="E93" s="130"/>
      <c r="F93" s="130"/>
    </row>
    <row r="94" spans="1:6" s="19" customFormat="1" ht="15">
      <c r="A94" s="48"/>
      <c r="B94" s="49"/>
      <c r="C94" s="130"/>
      <c r="D94" s="130"/>
      <c r="E94" s="130"/>
      <c r="F94" s="130"/>
    </row>
    <row r="95" spans="1:6" s="19" customFormat="1" ht="15">
      <c r="A95" s="48"/>
      <c r="B95" s="49"/>
      <c r="C95" s="130"/>
      <c r="D95" s="130"/>
      <c r="E95" s="130"/>
      <c r="F95" s="130"/>
    </row>
    <row r="96" spans="1:6" s="19" customFormat="1" ht="15">
      <c r="A96" s="48"/>
      <c r="B96" s="49"/>
      <c r="C96" s="130"/>
      <c r="D96" s="130"/>
      <c r="E96" s="130"/>
      <c r="F96" s="130"/>
    </row>
    <row r="97" spans="1:6" s="19" customFormat="1" ht="15">
      <c r="A97" s="48"/>
      <c r="B97" s="49"/>
      <c r="C97" s="130"/>
      <c r="D97" s="130"/>
      <c r="E97" s="130"/>
      <c r="F97" s="130"/>
    </row>
    <row r="98" spans="1:6" s="19" customFormat="1" ht="15">
      <c r="A98" s="48"/>
      <c r="B98" s="49"/>
      <c r="C98" s="130"/>
      <c r="D98" s="130"/>
      <c r="E98" s="130"/>
      <c r="F98" s="130"/>
    </row>
    <row r="99" spans="1:6" s="19" customFormat="1" ht="15">
      <c r="A99" s="48"/>
      <c r="B99" s="49"/>
      <c r="C99" s="130"/>
      <c r="D99" s="130"/>
      <c r="E99" s="130"/>
      <c r="F99" s="130"/>
    </row>
    <row r="100" spans="1:6" s="19" customFormat="1" ht="15">
      <c r="A100" s="48"/>
      <c r="B100" s="49"/>
      <c r="C100" s="130"/>
      <c r="D100" s="130"/>
      <c r="E100" s="130"/>
      <c r="F100" s="130"/>
    </row>
    <row r="101" spans="1:6" s="19" customFormat="1" ht="15">
      <c r="A101" s="48"/>
      <c r="B101" s="49"/>
      <c r="C101" s="130"/>
      <c r="D101" s="130"/>
      <c r="E101" s="130"/>
      <c r="F101" s="130"/>
    </row>
    <row r="102" spans="1:6" s="19" customFormat="1" ht="15">
      <c r="A102" s="48"/>
      <c r="B102" s="49"/>
      <c r="C102" s="130"/>
      <c r="D102" s="130"/>
      <c r="E102" s="130"/>
      <c r="F102" s="130"/>
    </row>
    <row r="103" spans="1:6" s="19" customFormat="1" ht="15">
      <c r="A103" s="48"/>
      <c r="B103" s="49"/>
      <c r="C103" s="130"/>
      <c r="D103" s="130"/>
      <c r="E103" s="130"/>
      <c r="F103" s="130"/>
    </row>
    <row r="104" spans="1:6" s="19" customFormat="1" ht="15">
      <c r="A104" s="48"/>
      <c r="B104" s="49"/>
      <c r="C104" s="130"/>
      <c r="D104" s="130"/>
      <c r="E104" s="130"/>
      <c r="F104" s="130"/>
    </row>
    <row r="105" spans="1:6" s="19" customFormat="1" ht="15">
      <c r="A105" s="48"/>
      <c r="B105" s="49"/>
      <c r="C105" s="130"/>
      <c r="D105" s="130"/>
      <c r="E105" s="130"/>
      <c r="F105" s="130"/>
    </row>
    <row r="106" spans="1:6" s="19" customFormat="1" ht="15">
      <c r="A106" s="48"/>
      <c r="B106" s="49"/>
      <c r="C106" s="130"/>
      <c r="D106" s="130"/>
      <c r="E106" s="130"/>
      <c r="F106" s="130"/>
    </row>
    <row r="107" spans="1:6" s="19" customFormat="1" ht="15">
      <c r="A107" s="48"/>
      <c r="B107" s="49"/>
      <c r="C107" s="130"/>
      <c r="D107" s="130"/>
      <c r="E107" s="130"/>
      <c r="F107" s="130"/>
    </row>
    <row r="108" spans="1:6" s="19" customFormat="1" ht="15">
      <c r="A108" s="48"/>
      <c r="B108" s="49"/>
      <c r="C108" s="130"/>
      <c r="D108" s="130"/>
      <c r="E108" s="130"/>
      <c r="F108" s="130"/>
    </row>
    <row r="109" spans="1:6" s="19" customFormat="1" ht="15">
      <c r="A109" s="48"/>
      <c r="B109" s="49"/>
      <c r="C109" s="130"/>
      <c r="D109" s="130"/>
      <c r="E109" s="130"/>
      <c r="F109" s="130"/>
    </row>
    <row r="110" spans="2:3" ht="15">
      <c r="B110" s="49"/>
      <c r="C110" s="130"/>
    </row>
    <row r="111" spans="2:3" ht="15">
      <c r="B111" s="49"/>
      <c r="C111" s="130"/>
    </row>
    <row r="112" spans="2:3" ht="15">
      <c r="B112" s="49"/>
      <c r="C112" s="130"/>
    </row>
    <row r="113" ht="15">
      <c r="B113" s="49"/>
    </row>
    <row r="114" ht="15">
      <c r="B114" s="49"/>
    </row>
    <row r="115" ht="15">
      <c r="B115" s="49"/>
    </row>
    <row r="116" ht="15">
      <c r="B116" s="49"/>
    </row>
    <row r="117" ht="15">
      <c r="B117" s="49"/>
    </row>
    <row r="118" ht="15">
      <c r="B118" s="49"/>
    </row>
    <row r="119" ht="15">
      <c r="B119" s="49"/>
    </row>
    <row r="120" ht="15">
      <c r="B120" s="49"/>
    </row>
    <row r="121" ht="15">
      <c r="B121" s="49"/>
    </row>
    <row r="122" ht="12.75">
      <c r="B122" s="51"/>
    </row>
    <row r="123" ht="12.75">
      <c r="B123" s="51"/>
    </row>
    <row r="124" ht="12.75">
      <c r="B124" s="51"/>
    </row>
    <row r="125" ht="12.75">
      <c r="B125" s="51"/>
    </row>
    <row r="126" ht="12.75">
      <c r="B126" s="51"/>
    </row>
    <row r="127" ht="12.75">
      <c r="B127" s="51"/>
    </row>
    <row r="128" ht="12.75">
      <c r="B128" s="51"/>
    </row>
    <row r="129" ht="12.75">
      <c r="B129" s="51"/>
    </row>
    <row r="130" ht="12.75">
      <c r="B130" s="51"/>
    </row>
    <row r="131" ht="12.75">
      <c r="B131" s="51"/>
    </row>
    <row r="132" ht="12.75">
      <c r="B132" s="51"/>
    </row>
    <row r="133" ht="12.75">
      <c r="B133" s="51"/>
    </row>
    <row r="134" ht="12.75">
      <c r="B134" s="51"/>
    </row>
    <row r="135" ht="12.75">
      <c r="B135" s="51"/>
    </row>
    <row r="136" ht="12.75">
      <c r="B136" s="51"/>
    </row>
    <row r="137" ht="12.75">
      <c r="B137" s="51"/>
    </row>
    <row r="138" ht="12.75">
      <c r="B138" s="51"/>
    </row>
    <row r="139" ht="12.75">
      <c r="B139" s="51"/>
    </row>
    <row r="140" ht="12.75">
      <c r="B140" s="51"/>
    </row>
    <row r="141" ht="12.75">
      <c r="B141" s="51"/>
    </row>
    <row r="142" ht="12.75">
      <c r="B142" s="51"/>
    </row>
    <row r="143" ht="12.75">
      <c r="B143" s="51"/>
    </row>
    <row r="144" ht="12.75">
      <c r="B144" s="51"/>
    </row>
    <row r="145" ht="12.75">
      <c r="B145" s="51"/>
    </row>
    <row r="146" ht="12.75">
      <c r="B146" s="51"/>
    </row>
    <row r="147" ht="12.75">
      <c r="B147" s="51"/>
    </row>
    <row r="148" ht="12.75">
      <c r="B148" s="51"/>
    </row>
    <row r="149" ht="12.75">
      <c r="B149" s="51"/>
    </row>
    <row r="150" ht="12.75">
      <c r="B150" s="51"/>
    </row>
    <row r="151" ht="12.75">
      <c r="B151" s="51"/>
    </row>
    <row r="152" ht="12.75">
      <c r="B152" s="51"/>
    </row>
    <row r="153" ht="12.75">
      <c r="B153" s="51"/>
    </row>
    <row r="154" ht="12.75">
      <c r="B154" s="51"/>
    </row>
    <row r="155" ht="12.75">
      <c r="B155" s="51"/>
    </row>
    <row r="156" ht="12.75">
      <c r="B156" s="51"/>
    </row>
    <row r="157" ht="12.75">
      <c r="B157" s="51"/>
    </row>
    <row r="158" ht="12.75">
      <c r="B158" s="51"/>
    </row>
    <row r="159" ht="12.75">
      <c r="B159" s="51"/>
    </row>
    <row r="160" ht="12.75">
      <c r="B160" s="51"/>
    </row>
    <row r="161" ht="12.75">
      <c r="B161" s="51"/>
    </row>
    <row r="162" ht="12.75">
      <c r="B162" s="51"/>
    </row>
  </sheetData>
  <mergeCells count="5">
    <mergeCell ref="B5:E5"/>
    <mergeCell ref="B1:E1"/>
    <mergeCell ref="B2:E2"/>
    <mergeCell ref="B3:E3"/>
    <mergeCell ref="B4:E4"/>
  </mergeCells>
  <printOptions horizontalCentered="1"/>
  <pageMargins left="0.5" right="0.5" top="0.75" bottom="0.75" header="0.5" footer="0.5"/>
  <pageSetup horizontalDpi="600" verticalDpi="600" orientation="portrait" scale="75"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2" customWidth="1"/>
    <col min="2" max="2" width="17.421875" style="621" customWidth="1"/>
    <col min="3" max="3" width="17.57421875" style="621" customWidth="1"/>
    <col min="4" max="4" width="17.28125" style="621" customWidth="1"/>
    <col min="5" max="5" width="16.00390625" style="22" hidden="1" customWidth="1"/>
    <col min="6" max="6" width="14.00390625" style="300" hidden="1" customWidth="1"/>
    <col min="7" max="8" width="0" style="22" hidden="1" customWidth="1"/>
    <col min="9" max="9" width="15.00390625" style="22" bestFit="1" customWidth="1"/>
    <col min="10" max="10" width="13.00390625" style="22" customWidth="1"/>
    <col min="11" max="16384" width="9.140625" style="22" customWidth="1"/>
  </cols>
  <sheetData>
    <row r="1" spans="1:256" s="261" customFormat="1" ht="27" customHeight="1">
      <c r="A1" s="950" t="s">
        <v>260</v>
      </c>
      <c r="B1" s="951"/>
      <c r="C1" s="951"/>
      <c r="D1" s="952"/>
      <c r="E1" s="954"/>
      <c r="F1" s="954"/>
      <c r="G1" s="954"/>
      <c r="H1" s="955"/>
      <c r="I1" s="46"/>
      <c r="J1" s="46"/>
      <c r="K1" s="46"/>
      <c r="L1" s="46"/>
      <c r="M1" s="956"/>
      <c r="N1" s="954"/>
      <c r="O1" s="954"/>
      <c r="P1" s="955"/>
      <c r="Q1" s="956"/>
      <c r="R1" s="954"/>
      <c r="S1" s="954"/>
      <c r="T1" s="955"/>
      <c r="U1" s="956"/>
      <c r="V1" s="954"/>
      <c r="W1" s="954"/>
      <c r="X1" s="955"/>
      <c r="Y1" s="956"/>
      <c r="Z1" s="954"/>
      <c r="AA1" s="954"/>
      <c r="AB1" s="955"/>
      <c r="AC1" s="956"/>
      <c r="AD1" s="954"/>
      <c r="AE1" s="954"/>
      <c r="AF1" s="955"/>
      <c r="AG1" s="956"/>
      <c r="AH1" s="954"/>
      <c r="AI1" s="954"/>
      <c r="AJ1" s="955"/>
      <c r="AK1" s="956"/>
      <c r="AL1" s="954"/>
      <c r="AM1" s="954"/>
      <c r="AN1" s="955"/>
      <c r="AO1" s="956"/>
      <c r="AP1" s="954"/>
      <c r="AQ1" s="954"/>
      <c r="AR1" s="955"/>
      <c r="AS1" s="956"/>
      <c r="AT1" s="954"/>
      <c r="AU1" s="954"/>
      <c r="AV1" s="955"/>
      <c r="AW1" s="956"/>
      <c r="AX1" s="954"/>
      <c r="AY1" s="954"/>
      <c r="AZ1" s="955"/>
      <c r="BA1" s="956"/>
      <c r="BB1" s="954"/>
      <c r="BC1" s="954"/>
      <c r="BD1" s="955"/>
      <c r="BE1" s="956"/>
      <c r="BF1" s="954"/>
      <c r="BG1" s="954"/>
      <c r="BH1" s="955"/>
      <c r="BI1" s="956"/>
      <c r="BJ1" s="954"/>
      <c r="BK1" s="954"/>
      <c r="BL1" s="955"/>
      <c r="BM1" s="956"/>
      <c r="BN1" s="954"/>
      <c r="BO1" s="954"/>
      <c r="BP1" s="955"/>
      <c r="BQ1" s="956"/>
      <c r="BR1" s="954"/>
      <c r="BS1" s="954"/>
      <c r="BT1" s="955"/>
      <c r="BU1" s="956"/>
      <c r="BV1" s="954"/>
      <c r="BW1" s="954"/>
      <c r="BX1" s="955"/>
      <c r="BY1" s="956"/>
      <c r="BZ1" s="954"/>
      <c r="CA1" s="954"/>
      <c r="CB1" s="955"/>
      <c r="CC1" s="956"/>
      <c r="CD1" s="954"/>
      <c r="CE1" s="954"/>
      <c r="CF1" s="955"/>
      <c r="CG1" s="956"/>
      <c r="CH1" s="954"/>
      <c r="CI1" s="954"/>
      <c r="CJ1" s="955"/>
      <c r="CK1" s="956"/>
      <c r="CL1" s="954"/>
      <c r="CM1" s="954"/>
      <c r="CN1" s="955"/>
      <c r="CO1" s="956"/>
      <c r="CP1" s="954"/>
      <c r="CQ1" s="954"/>
      <c r="CR1" s="955"/>
      <c r="CS1" s="956"/>
      <c r="CT1" s="954"/>
      <c r="CU1" s="954"/>
      <c r="CV1" s="955"/>
      <c r="CW1" s="956"/>
      <c r="CX1" s="954"/>
      <c r="CY1" s="954"/>
      <c r="CZ1" s="955"/>
      <c r="DA1" s="956"/>
      <c r="DB1" s="954"/>
      <c r="DC1" s="954"/>
      <c r="DD1" s="955"/>
      <c r="DE1" s="956"/>
      <c r="DF1" s="954"/>
      <c r="DG1" s="954"/>
      <c r="DH1" s="955"/>
      <c r="DI1" s="956"/>
      <c r="DJ1" s="954"/>
      <c r="DK1" s="954"/>
      <c r="DL1" s="955"/>
      <c r="DM1" s="956"/>
      <c r="DN1" s="954"/>
      <c r="DO1" s="954"/>
      <c r="DP1" s="955"/>
      <c r="DQ1" s="956"/>
      <c r="DR1" s="954"/>
      <c r="DS1" s="954"/>
      <c r="DT1" s="955"/>
      <c r="DU1" s="956"/>
      <c r="DV1" s="954"/>
      <c r="DW1" s="954"/>
      <c r="DX1" s="955"/>
      <c r="DY1" s="956"/>
      <c r="DZ1" s="954"/>
      <c r="EA1" s="954"/>
      <c r="EB1" s="955"/>
      <c r="EC1" s="956"/>
      <c r="ED1" s="954"/>
      <c r="EE1" s="954"/>
      <c r="EF1" s="955"/>
      <c r="EG1" s="956"/>
      <c r="EH1" s="954"/>
      <c r="EI1" s="954"/>
      <c r="EJ1" s="955"/>
      <c r="EK1" s="956"/>
      <c r="EL1" s="954"/>
      <c r="EM1" s="954"/>
      <c r="EN1" s="955"/>
      <c r="EO1" s="956"/>
      <c r="EP1" s="954"/>
      <c r="EQ1" s="954"/>
      <c r="ER1" s="955"/>
      <c r="ES1" s="956"/>
      <c r="ET1" s="954"/>
      <c r="EU1" s="954"/>
      <c r="EV1" s="955"/>
      <c r="EW1" s="956"/>
      <c r="EX1" s="954"/>
      <c r="EY1" s="954"/>
      <c r="EZ1" s="955"/>
      <c r="FA1" s="956"/>
      <c r="FB1" s="954"/>
      <c r="FC1" s="954"/>
      <c r="FD1" s="955"/>
      <c r="FE1" s="956"/>
      <c r="FF1" s="954"/>
      <c r="FG1" s="954"/>
      <c r="FH1" s="955"/>
      <c r="FI1" s="956"/>
      <c r="FJ1" s="954"/>
      <c r="FK1" s="954"/>
      <c r="FL1" s="955"/>
      <c r="FM1" s="956"/>
      <c r="FN1" s="954"/>
      <c r="FO1" s="954"/>
      <c r="FP1" s="955"/>
      <c r="FQ1" s="956"/>
      <c r="FR1" s="954"/>
      <c r="FS1" s="954"/>
      <c r="FT1" s="955"/>
      <c r="FU1" s="956"/>
      <c r="FV1" s="954"/>
      <c r="FW1" s="954"/>
      <c r="FX1" s="955"/>
      <c r="FY1" s="956"/>
      <c r="FZ1" s="954"/>
      <c r="GA1" s="954"/>
      <c r="GB1" s="955"/>
      <c r="GC1" s="956"/>
      <c r="GD1" s="954"/>
      <c r="GE1" s="954"/>
      <c r="GF1" s="955"/>
      <c r="GG1" s="956"/>
      <c r="GH1" s="954"/>
      <c r="GI1" s="954"/>
      <c r="GJ1" s="955"/>
      <c r="GK1" s="956"/>
      <c r="GL1" s="954"/>
      <c r="GM1" s="954"/>
      <c r="GN1" s="955"/>
      <c r="GO1" s="956"/>
      <c r="GP1" s="954"/>
      <c r="GQ1" s="954"/>
      <c r="GR1" s="955"/>
      <c r="GS1" s="956"/>
      <c r="GT1" s="954"/>
      <c r="GU1" s="954"/>
      <c r="GV1" s="955"/>
      <c r="GW1" s="956"/>
      <c r="GX1" s="954"/>
      <c r="GY1" s="954"/>
      <c r="GZ1" s="955"/>
      <c r="HA1" s="956"/>
      <c r="HB1" s="954"/>
      <c r="HC1" s="954"/>
      <c r="HD1" s="955"/>
      <c r="HE1" s="956"/>
      <c r="HF1" s="954"/>
      <c r="HG1" s="954"/>
      <c r="HH1" s="955"/>
      <c r="HI1" s="956"/>
      <c r="HJ1" s="954"/>
      <c r="HK1" s="954"/>
      <c r="HL1" s="955"/>
      <c r="HM1" s="956"/>
      <c r="HN1" s="954"/>
      <c r="HO1" s="954"/>
      <c r="HP1" s="955"/>
      <c r="HQ1" s="956"/>
      <c r="HR1" s="954"/>
      <c r="HS1" s="954"/>
      <c r="HT1" s="955"/>
      <c r="HU1" s="956"/>
      <c r="HV1" s="954"/>
      <c r="HW1" s="954"/>
      <c r="HX1" s="955"/>
      <c r="HY1" s="956"/>
      <c r="HZ1" s="954"/>
      <c r="IA1" s="954"/>
      <c r="IB1" s="955"/>
      <c r="IC1" s="956"/>
      <c r="ID1" s="954"/>
      <c r="IE1" s="954"/>
      <c r="IF1" s="955"/>
      <c r="IG1" s="956"/>
      <c r="IH1" s="954"/>
      <c r="II1" s="954"/>
      <c r="IJ1" s="955"/>
      <c r="IK1" s="956"/>
      <c r="IL1" s="954"/>
      <c r="IM1" s="954"/>
      <c r="IN1" s="955"/>
      <c r="IO1" s="956"/>
      <c r="IP1" s="954"/>
      <c r="IQ1" s="954"/>
      <c r="IR1" s="955"/>
      <c r="IS1" s="956"/>
      <c r="IT1" s="954"/>
      <c r="IU1" s="954"/>
      <c r="IV1" s="955"/>
    </row>
    <row r="2" spans="1:6" s="46" customFormat="1" ht="18" customHeight="1">
      <c r="A2" s="928"/>
      <c r="B2" s="929"/>
      <c r="C2" s="929"/>
      <c r="D2" s="953"/>
      <c r="F2" s="297"/>
    </row>
    <row r="3" spans="1:6" s="46" customFormat="1" ht="18.75">
      <c r="A3" s="948" t="s">
        <v>222</v>
      </c>
      <c r="B3" s="910"/>
      <c r="C3" s="910"/>
      <c r="D3" s="949"/>
      <c r="F3" s="297"/>
    </row>
    <row r="4" spans="1:6" s="46" customFormat="1" ht="18.75">
      <c r="A4" s="948" t="s">
        <v>322</v>
      </c>
      <c r="B4" s="910"/>
      <c r="C4" s="910"/>
      <c r="D4" s="949"/>
      <c r="F4" s="297"/>
    </row>
    <row r="5" spans="1:6" s="46" customFormat="1" ht="18.75">
      <c r="A5" s="948" t="str">
        <f>+'(9)Equity YTD4'!A4</f>
        <v>YTD PERIOD MARCH 31st, 2004</v>
      </c>
      <c r="B5" s="910"/>
      <c r="C5" s="910"/>
      <c r="D5" s="949"/>
      <c r="F5" s="297"/>
    </row>
    <row r="6" spans="1:6" s="19" customFormat="1" ht="15" customHeight="1">
      <c r="A6" s="470"/>
      <c r="B6" s="598"/>
      <c r="C6" s="598"/>
      <c r="D6" s="599"/>
      <c r="F6" s="23"/>
    </row>
    <row r="7" spans="1:6" s="19" customFormat="1" ht="15">
      <c r="A7" s="471" t="s">
        <v>323</v>
      </c>
      <c r="B7" s="600" t="str">
        <f>+'Earned Incurred QTD-4'!C8</f>
        <v>3-31-04</v>
      </c>
      <c r="C7" s="601"/>
      <c r="D7" s="602"/>
      <c r="F7" s="298" t="s">
        <v>367</v>
      </c>
    </row>
    <row r="8" spans="1:6" s="19" customFormat="1" ht="15">
      <c r="A8" s="471"/>
      <c r="B8" s="603" t="s">
        <v>17</v>
      </c>
      <c r="C8" s="604"/>
      <c r="D8" s="605"/>
      <c r="F8" s="299" t="s">
        <v>193</v>
      </c>
    </row>
    <row r="9" spans="1:6" s="19" customFormat="1" ht="15">
      <c r="A9" s="472"/>
      <c r="B9" s="606" t="s">
        <v>270</v>
      </c>
      <c r="C9" s="607"/>
      <c r="D9" s="608"/>
      <c r="F9" s="23"/>
    </row>
    <row r="10" spans="1:6" s="19" customFormat="1" ht="15">
      <c r="A10" s="473" t="s">
        <v>324</v>
      </c>
      <c r="B10" s="609"/>
      <c r="C10" s="540" t="e">
        <f>'(7)Premiums YTD8'!G12</f>
        <v>#REF!</v>
      </c>
      <c r="D10" s="610"/>
      <c r="E10" s="130">
        <v>16190670</v>
      </c>
      <c r="F10" s="23">
        <v>41000</v>
      </c>
    </row>
    <row r="11" spans="1:6" s="19" customFormat="1" ht="15">
      <c r="A11" s="473"/>
      <c r="B11" s="609"/>
      <c r="C11" s="539"/>
      <c r="D11" s="610"/>
      <c r="F11" s="23"/>
    </row>
    <row r="12" spans="1:6" s="19" customFormat="1" ht="15">
      <c r="A12" s="474" t="s">
        <v>325</v>
      </c>
      <c r="B12" s="587" t="e">
        <f>'(7)Premiums YTD8'!G18</f>
        <v>#REF!</v>
      </c>
      <c r="C12" s="125"/>
      <c r="D12" s="588"/>
      <c r="F12" s="23"/>
    </row>
    <row r="13" spans="1:6" s="19" customFormat="1" ht="15">
      <c r="A13" s="474" t="s">
        <v>344</v>
      </c>
      <c r="B13" s="589">
        <v>8897126</v>
      </c>
      <c r="C13" s="125"/>
      <c r="D13" s="588"/>
      <c r="F13" s="23"/>
    </row>
    <row r="14" spans="1:6" s="19" customFormat="1" ht="15" customHeight="1">
      <c r="A14" s="474" t="s">
        <v>345</v>
      </c>
      <c r="B14" s="587"/>
      <c r="C14" s="590" t="e">
        <f>B13-B12</f>
        <v>#REF!</v>
      </c>
      <c r="D14" s="588"/>
      <c r="F14" s="23">
        <v>41100</v>
      </c>
    </row>
    <row r="15" spans="1:6" s="19" customFormat="1" ht="15" customHeight="1">
      <c r="A15" s="473" t="s">
        <v>346</v>
      </c>
      <c r="B15" s="587"/>
      <c r="C15" s="125"/>
      <c r="D15" s="648" t="e">
        <f>C10+C14</f>
        <v>#REF!</v>
      </c>
      <c r="E15" s="130" t="e">
        <f>+'(7)Premiums YTD8'!G30</f>
        <v>#REF!</v>
      </c>
      <c r="F15" s="23"/>
    </row>
    <row r="16" spans="1:6" s="19" customFormat="1" ht="15">
      <c r="A16" s="474" t="s">
        <v>347</v>
      </c>
      <c r="B16" s="587"/>
      <c r="C16" s="125">
        <f>+'[1]TB03-31-04(Final)'!G384</f>
        <v>3791762.3499999996</v>
      </c>
      <c r="D16" s="588"/>
      <c r="F16" s="23" t="s">
        <v>368</v>
      </c>
    </row>
    <row r="17" spans="1:6" s="19" customFormat="1" ht="15">
      <c r="A17" s="474" t="s">
        <v>348</v>
      </c>
      <c r="B17" s="587"/>
      <c r="C17" s="590">
        <f>-'[1]TB03-31-04(Final)'!G405+1</f>
        <v>8001.969999999999</v>
      </c>
      <c r="D17" s="588"/>
      <c r="F17" s="23">
        <v>51108</v>
      </c>
    </row>
    <row r="18" spans="1:6" s="19" customFormat="1" ht="15">
      <c r="A18" s="473" t="s">
        <v>349</v>
      </c>
      <c r="B18" s="587"/>
      <c r="C18" s="125">
        <f>C16-C17</f>
        <v>3783760.3799999994</v>
      </c>
      <c r="D18" s="588"/>
      <c r="F18" s="23"/>
    </row>
    <row r="19" spans="1:6" s="19" customFormat="1" ht="15">
      <c r="A19" s="474" t="s">
        <v>350</v>
      </c>
      <c r="B19" s="587" t="e">
        <f>'(6)Losses Incurred YTD10'!H18</f>
        <v>#REF!</v>
      </c>
      <c r="C19" s="125" t="s">
        <v>270</v>
      </c>
      <c r="D19" s="588"/>
      <c r="F19" s="23"/>
    </row>
    <row r="20" spans="1:6" s="19" customFormat="1" ht="15">
      <c r="A20" s="474" t="s">
        <v>351</v>
      </c>
      <c r="B20" s="589">
        <v>5587477</v>
      </c>
      <c r="C20" s="125"/>
      <c r="D20" s="588"/>
      <c r="F20" s="23"/>
    </row>
    <row r="21" spans="1:6" s="19" customFormat="1" ht="15">
      <c r="A21" s="474" t="s">
        <v>352</v>
      </c>
      <c r="B21" s="592"/>
      <c r="C21" s="590" t="e">
        <f>B19-B20</f>
        <v>#REF!</v>
      </c>
      <c r="D21" s="588"/>
      <c r="F21" s="23" t="s">
        <v>369</v>
      </c>
    </row>
    <row r="22" spans="1:6" s="19" customFormat="1" ht="15">
      <c r="A22" s="473" t="s">
        <v>353</v>
      </c>
      <c r="B22" s="587"/>
      <c r="C22" s="125"/>
      <c r="D22" s="588" t="e">
        <f>C18+C21</f>
        <v>#REF!</v>
      </c>
      <c r="E22" s="50" t="e">
        <f>+'(6)Losses Incurred YTD10'!H30</f>
        <v>#REF!</v>
      </c>
      <c r="F22" s="23"/>
    </row>
    <row r="23" spans="1:6" s="19" customFormat="1" ht="15">
      <c r="A23" s="474" t="s">
        <v>354</v>
      </c>
      <c r="B23" s="587"/>
      <c r="C23" s="125">
        <f>+'[1]TB03-31-04(Final)'!G486</f>
        <v>292907.87</v>
      </c>
      <c r="D23" s="588"/>
      <c r="E23" s="111"/>
      <c r="F23" s="23">
        <v>51200</v>
      </c>
    </row>
    <row r="24" spans="1:6" s="19" customFormat="1" ht="15">
      <c r="A24" s="474" t="s">
        <v>355</v>
      </c>
      <c r="B24" s="587"/>
      <c r="C24" s="590">
        <f>+'[1]TB03-31-04(Final)'!G547</f>
        <v>139421.58999999997</v>
      </c>
      <c r="D24" s="588"/>
      <c r="F24" s="23">
        <v>51300</v>
      </c>
    </row>
    <row r="25" spans="1:6" s="19" customFormat="1" ht="15">
      <c r="A25" s="473" t="s">
        <v>356</v>
      </c>
      <c r="B25" s="587"/>
      <c r="C25" s="125">
        <f>C23+C24</f>
        <v>432329.45999999996</v>
      </c>
      <c r="D25" s="588"/>
      <c r="F25" s="23"/>
    </row>
    <row r="26" spans="1:6" s="19" customFormat="1" ht="15">
      <c r="A26" s="474" t="s">
        <v>357</v>
      </c>
      <c r="B26" s="587" t="e">
        <f>'(4)Loss Expenses YTD12'!H18</f>
        <v>#REF!</v>
      </c>
      <c r="C26" s="125"/>
      <c r="D26" s="588"/>
      <c r="F26" s="23"/>
    </row>
    <row r="27" spans="1:9" s="19" customFormat="1" ht="15">
      <c r="A27" s="474" t="s">
        <v>358</v>
      </c>
      <c r="B27" s="589">
        <v>474837</v>
      </c>
      <c r="C27" s="125"/>
      <c r="D27" s="588"/>
      <c r="F27" s="23"/>
      <c r="I27" s="125">
        <f>31050</f>
        <v>31050</v>
      </c>
    </row>
    <row r="28" spans="1:9" s="19" customFormat="1" ht="15">
      <c r="A28" s="474" t="s">
        <v>359</v>
      </c>
      <c r="B28" s="587"/>
      <c r="C28" s="590" t="e">
        <f>B26-B27</f>
        <v>#REF!</v>
      </c>
      <c r="D28" s="588"/>
      <c r="F28" s="23" t="s">
        <v>370</v>
      </c>
      <c r="I28" s="125">
        <f>20347.1</f>
        <v>20347.1</v>
      </c>
    </row>
    <row r="29" spans="1:9" s="19" customFormat="1" ht="15">
      <c r="A29" s="473" t="s">
        <v>360</v>
      </c>
      <c r="B29" s="587"/>
      <c r="C29" s="125"/>
      <c r="D29" s="591" t="e">
        <f>C25+C28</f>
        <v>#REF!</v>
      </c>
      <c r="E29" s="50" t="e">
        <f>+'(4)Loss Expenses YTD12'!H30</f>
        <v>#REF!</v>
      </c>
      <c r="F29" s="23"/>
      <c r="I29" s="125">
        <f>6478.27</f>
        <v>6478.27</v>
      </c>
    </row>
    <row r="30" spans="1:9" s="19" customFormat="1" ht="15">
      <c r="A30" s="473" t="s">
        <v>361</v>
      </c>
      <c r="B30" s="587"/>
      <c r="C30" s="125"/>
      <c r="D30" s="593" t="e">
        <f>D22+D29</f>
        <v>#REF!</v>
      </c>
      <c r="F30" s="23"/>
      <c r="I30" s="125">
        <f>23108.63</f>
        <v>23108.63</v>
      </c>
    </row>
    <row r="31" spans="1:9" s="19" customFormat="1" ht="15">
      <c r="A31" s="474" t="s">
        <v>362</v>
      </c>
      <c r="B31" s="587"/>
      <c r="C31" s="125">
        <f>23108.63+6478.27+20347.1+10350+20700+1200+600</f>
        <v>82784</v>
      </c>
      <c r="D31" s="588"/>
      <c r="F31" s="23"/>
      <c r="I31" s="125">
        <f>SUM(I27:I30)</f>
        <v>80984</v>
      </c>
    </row>
    <row r="32" spans="1:6" s="19" customFormat="1" ht="15">
      <c r="A32" s="474" t="s">
        <v>363</v>
      </c>
      <c r="B32" s="587">
        <f>+'Balance Sheet-1'!D38</f>
        <v>50113.97</v>
      </c>
      <c r="C32" s="125"/>
      <c r="D32" s="588"/>
      <c r="F32" s="23">
        <v>24000</v>
      </c>
    </row>
    <row r="33" spans="1:6" s="19" customFormat="1" ht="15">
      <c r="A33" s="474" t="s">
        <v>364</v>
      </c>
      <c r="B33" s="589">
        <v>46320</v>
      </c>
      <c r="C33" s="125" t="s">
        <v>270</v>
      </c>
      <c r="D33" s="588"/>
      <c r="F33" s="23"/>
    </row>
    <row r="34" spans="1:6" s="19" customFormat="1" ht="15">
      <c r="A34" s="474" t="s">
        <v>365</v>
      </c>
      <c r="B34" s="587"/>
      <c r="C34" s="590">
        <f>B32-B33</f>
        <v>3793.970000000001</v>
      </c>
      <c r="D34" s="588"/>
      <c r="F34" s="23"/>
    </row>
    <row r="35" spans="1:6" s="19" customFormat="1" ht="15" hidden="1">
      <c r="A35" s="474"/>
      <c r="B35" s="587"/>
      <c r="C35" s="125"/>
      <c r="D35" s="588"/>
      <c r="F35" s="23"/>
    </row>
    <row r="36" spans="1:10" s="19" customFormat="1" ht="15" customHeight="1">
      <c r="A36" s="473" t="s">
        <v>366</v>
      </c>
      <c r="B36" s="587"/>
      <c r="C36" s="125" t="s">
        <v>270</v>
      </c>
      <c r="D36" s="588">
        <f>SUM(C31:C35)</f>
        <v>86577.97</v>
      </c>
      <c r="E36" s="256">
        <f>+'[1]TB03-31-04(Final)'!G644</f>
        <v>22313.94</v>
      </c>
      <c r="F36" s="23">
        <v>64000</v>
      </c>
      <c r="I36" s="19">
        <v>97598.57</v>
      </c>
      <c r="J36" s="116">
        <f>+D36-I36</f>
        <v>-11020.600000000006</v>
      </c>
    </row>
    <row r="37" spans="1:6" s="19" customFormat="1" ht="13.5" customHeight="1">
      <c r="A37" s="465" t="s">
        <v>101</v>
      </c>
      <c r="B37" s="587"/>
      <c r="C37" s="130"/>
      <c r="D37" s="594">
        <f>+'[1]TB03-31-04(Final)'!G630</f>
        <v>528557.35</v>
      </c>
      <c r="F37" s="23" t="s">
        <v>371</v>
      </c>
    </row>
    <row r="38" spans="1:6" s="19" customFormat="1" ht="13.5" customHeight="1">
      <c r="A38" s="465" t="s">
        <v>224</v>
      </c>
      <c r="B38" s="587"/>
      <c r="C38" s="125">
        <f>+'[1]TB03-31-04(Final)'!G635+'[1]TB03-31-04(Final)'!G639+'[1]TB03-31-04(Final)'!G647</f>
        <v>108491.93</v>
      </c>
      <c r="D38" s="588"/>
      <c r="F38" s="23" t="s">
        <v>372</v>
      </c>
    </row>
    <row r="39" spans="1:9" s="19" customFormat="1" ht="15">
      <c r="A39" s="465" t="s">
        <v>148</v>
      </c>
      <c r="B39" s="587"/>
      <c r="C39" s="644">
        <f>+'[1]TB03-31-04(Final)'!G1005-'(8)Earned Incurred YTD6'!C43</f>
        <v>995251.8099999997</v>
      </c>
      <c r="D39" s="588"/>
      <c r="E39" s="123"/>
      <c r="F39" s="23" t="s">
        <v>373</v>
      </c>
      <c r="I39" s="151"/>
    </row>
    <row r="40" spans="1:9" s="19" customFormat="1" ht="15">
      <c r="A40" s="464" t="s">
        <v>149</v>
      </c>
      <c r="B40" s="587"/>
      <c r="C40" s="645">
        <f>SUM(C38:C39)-1</f>
        <v>1103742.7399999998</v>
      </c>
      <c r="D40" s="588"/>
      <c r="E40" s="123"/>
      <c r="F40" s="23"/>
      <c r="I40" s="151"/>
    </row>
    <row r="41" spans="1:6" s="19" customFormat="1" ht="15">
      <c r="A41" s="465" t="s">
        <v>363</v>
      </c>
      <c r="B41" s="587">
        <f>-'[1]TB03-31-04(Final)'!G217</f>
        <v>330321.9</v>
      </c>
      <c r="C41" s="125"/>
      <c r="D41" s="588"/>
      <c r="F41" s="23"/>
    </row>
    <row r="42" spans="1:6" s="19" customFormat="1" ht="15">
      <c r="A42" s="465" t="s">
        <v>364</v>
      </c>
      <c r="B42" s="589">
        <v>356304</v>
      </c>
      <c r="C42" s="125" t="s">
        <v>270</v>
      </c>
      <c r="D42" s="588"/>
      <c r="F42" s="23"/>
    </row>
    <row r="43" spans="1:6" s="19" customFormat="1" ht="15">
      <c r="A43" s="465" t="s">
        <v>150</v>
      </c>
      <c r="B43" s="587"/>
      <c r="C43" s="590">
        <f>B41-B42</f>
        <v>-25982.099999999977</v>
      </c>
      <c r="D43" s="588"/>
      <c r="E43" s="241">
        <f>+C38+C39+C43</f>
        <v>1077761.6399999997</v>
      </c>
      <c r="F43" s="23"/>
    </row>
    <row r="44" spans="1:6" s="19" customFormat="1" ht="15">
      <c r="A44" s="464" t="s">
        <v>223</v>
      </c>
      <c r="B44" s="587"/>
      <c r="C44" s="125"/>
      <c r="D44" s="591">
        <f>SUM(C40:C43)+2</f>
        <v>1077762.6399999997</v>
      </c>
      <c r="E44" s="123"/>
      <c r="F44" s="23"/>
    </row>
    <row r="45" spans="1:6" s="19" customFormat="1" ht="15">
      <c r="A45" s="464" t="s">
        <v>151</v>
      </c>
      <c r="B45" s="587"/>
      <c r="C45" s="125"/>
      <c r="D45" s="643">
        <f>SUM(D36:D44)</f>
        <v>1692897.9599999995</v>
      </c>
      <c r="E45" s="123"/>
      <c r="F45" s="23"/>
    </row>
    <row r="46" spans="1:10" s="19" customFormat="1" ht="15">
      <c r="A46" s="464" t="s">
        <v>152</v>
      </c>
      <c r="B46" s="587"/>
      <c r="C46" s="125"/>
      <c r="D46" s="595" t="e">
        <f>SUM(D30:D44)</f>
        <v>#REF!</v>
      </c>
      <c r="F46" s="23"/>
      <c r="I46" s="19">
        <v>22008562.28</v>
      </c>
      <c r="J46" s="116" t="e">
        <f>+D46-I46</f>
        <v>#REF!</v>
      </c>
    </row>
    <row r="47" spans="1:6" s="19" customFormat="1" ht="15">
      <c r="A47" s="473" t="s">
        <v>21</v>
      </c>
      <c r="B47" s="587"/>
      <c r="C47" s="125"/>
      <c r="D47" s="697" t="e">
        <f>D15-D46</f>
        <v>#REF!</v>
      </c>
      <c r="F47" s="23"/>
    </row>
    <row r="48" spans="1:6" s="19" customFormat="1" ht="15">
      <c r="A48" s="474" t="s">
        <v>203</v>
      </c>
      <c r="B48" s="587"/>
      <c r="C48" s="125">
        <f>-'[1]TB03-31-04(Final)'!G356-'[1]TB03-31-04(Final)'!G343-'[1]TB03-31-04(Final)'!F347+'(8)Earned Incurred YTD6'!B50</f>
        <v>44581.64</v>
      </c>
      <c r="D48" s="588"/>
      <c r="F48" s="23" t="s">
        <v>375</v>
      </c>
    </row>
    <row r="49" spans="1:6" s="19" customFormat="1" ht="15">
      <c r="A49" s="474" t="s">
        <v>380</v>
      </c>
      <c r="B49" s="587">
        <f>+'[1]TB03-31-04(Final)'!G25</f>
        <v>10038.47</v>
      </c>
      <c r="C49" s="125"/>
      <c r="D49" s="588"/>
      <c r="F49" s="23">
        <v>12150</v>
      </c>
    </row>
    <row r="50" spans="1:6" s="19" customFormat="1" ht="15">
      <c r="A50" s="474" t="s">
        <v>381</v>
      </c>
      <c r="B50" s="589">
        <v>17084</v>
      </c>
      <c r="C50" s="125" t="s">
        <v>270</v>
      </c>
      <c r="D50" s="588"/>
      <c r="F50" s="23"/>
    </row>
    <row r="51" spans="1:6" s="19" customFormat="1" ht="15">
      <c r="A51" s="474" t="s">
        <v>382</v>
      </c>
      <c r="B51" s="587"/>
      <c r="C51" s="590">
        <f>B49-B50</f>
        <v>-7045.530000000001</v>
      </c>
      <c r="D51" s="593"/>
      <c r="F51" s="23"/>
    </row>
    <row r="52" spans="1:9" s="19" customFormat="1" ht="15">
      <c r="A52" s="473" t="s">
        <v>204</v>
      </c>
      <c r="B52" s="587"/>
      <c r="C52" s="125"/>
      <c r="D52" s="597">
        <f>C48+C51</f>
        <v>37536.11</v>
      </c>
      <c r="E52" s="256">
        <f>+'[1]TB03-31-04(Final)'!G348</f>
        <v>-29950.73</v>
      </c>
      <c r="F52" s="23" t="s">
        <v>374</v>
      </c>
      <c r="I52" s="151"/>
    </row>
    <row r="53" spans="1:10" s="19" customFormat="1" ht="15">
      <c r="A53" s="475"/>
      <c r="B53" s="609"/>
      <c r="C53" s="375"/>
      <c r="D53" s="613"/>
      <c r="F53" s="23"/>
      <c r="J53" s="116"/>
    </row>
    <row r="54" spans="1:9" s="19" customFormat="1" ht="15">
      <c r="A54" s="476" t="s">
        <v>22</v>
      </c>
      <c r="B54" s="611"/>
      <c r="C54" s="612"/>
      <c r="D54" s="614" t="e">
        <f>D47+D52</f>
        <v>#REF!</v>
      </c>
      <c r="F54" s="23" t="s">
        <v>23</v>
      </c>
      <c r="I54" s="130"/>
    </row>
    <row r="55" spans="1:9" s="19" customFormat="1" ht="15.75" customHeight="1">
      <c r="A55" s="49"/>
      <c r="B55" s="375"/>
      <c r="C55" s="375"/>
      <c r="D55" s="26">
        <v>2596189.92</v>
      </c>
      <c r="E55" s="123" t="e">
        <f>+D54-#REF!</f>
        <v>#REF!</v>
      </c>
      <c r="F55" s="360" t="e">
        <f>+'Income Statement-2'!#REF!</f>
        <v>#REF!</v>
      </c>
      <c r="I55" s="130"/>
    </row>
    <row r="56" spans="2:10" s="19" customFormat="1" ht="20.25" customHeight="1">
      <c r="B56" s="556"/>
      <c r="C56" s="556"/>
      <c r="D56" s="556" t="e">
        <f>+D54+D55</f>
        <v>#REF!</v>
      </c>
      <c r="E56" s="123" t="e">
        <f>+#REF!+D56</f>
        <v>#REF!</v>
      </c>
      <c r="F56" s="23"/>
      <c r="I56" s="116"/>
      <c r="J56" s="116"/>
    </row>
    <row r="57" spans="1:10" s="19" customFormat="1" ht="15">
      <c r="A57" s="957"/>
      <c r="B57" s="958"/>
      <c r="C57" s="958"/>
      <c r="D57" s="958"/>
      <c r="F57" s="23"/>
      <c r="J57" s="116"/>
    </row>
    <row r="58" spans="1:6" s="19" customFormat="1" ht="15">
      <c r="A58" s="147"/>
      <c r="B58" s="615"/>
      <c r="C58" s="616"/>
      <c r="D58" s="616"/>
      <c r="F58" s="23"/>
    </row>
    <row r="59" spans="1:6" s="19" customFormat="1" ht="15">
      <c r="A59" s="947" t="s">
        <v>74</v>
      </c>
      <c r="B59" s="947"/>
      <c r="C59" s="947"/>
      <c r="D59" s="616"/>
      <c r="F59" s="23"/>
    </row>
    <row r="60" spans="1:6" s="19" customFormat="1" ht="15">
      <c r="A60" s="49"/>
      <c r="B60" s="556"/>
      <c r="C60" s="617"/>
      <c r="D60" s="617"/>
      <c r="F60" s="23"/>
    </row>
    <row r="61" spans="1:6" s="19" customFormat="1" ht="15">
      <c r="A61" s="49"/>
      <c r="B61" s="556"/>
      <c r="C61" s="617"/>
      <c r="D61" s="617"/>
      <c r="F61" s="23"/>
    </row>
    <row r="62" spans="1:6" s="19" customFormat="1" ht="15">
      <c r="A62" s="49"/>
      <c r="B62" s="556"/>
      <c r="C62" s="617"/>
      <c r="D62" s="617"/>
      <c r="F62" s="23"/>
    </row>
    <row r="63" spans="1:6" s="19" customFormat="1" ht="15">
      <c r="A63" s="49"/>
      <c r="B63" s="556"/>
      <c r="C63" s="617"/>
      <c r="D63" s="617"/>
      <c r="F63" s="23"/>
    </row>
    <row r="64" spans="1:6" s="19" customFormat="1" ht="15">
      <c r="A64" s="117"/>
      <c r="B64" s="556"/>
      <c r="C64" s="618"/>
      <c r="D64" s="618"/>
      <c r="F64" s="23"/>
    </row>
    <row r="65" spans="1:6" s="19" customFormat="1" ht="15">
      <c r="A65" s="117"/>
      <c r="B65" s="375"/>
      <c r="C65" s="618"/>
      <c r="D65" s="618"/>
      <c r="F65" s="23"/>
    </row>
    <row r="66" spans="1:6" s="19" customFormat="1" ht="15">
      <c r="A66" s="117"/>
      <c r="B66" s="556"/>
      <c r="C66" s="618"/>
      <c r="D66" s="618"/>
      <c r="F66" s="23"/>
    </row>
    <row r="67" spans="1:6" s="19" customFormat="1" ht="15">
      <c r="A67" s="117"/>
      <c r="B67" s="556"/>
      <c r="C67" s="618"/>
      <c r="D67" s="618"/>
      <c r="F67" s="23"/>
    </row>
    <row r="68" spans="2:6" s="19" customFormat="1" ht="15">
      <c r="B68" s="556"/>
      <c r="C68" s="618"/>
      <c r="D68" s="618"/>
      <c r="F68" s="23"/>
    </row>
    <row r="69" spans="1:6" s="19" customFormat="1" ht="15">
      <c r="A69" s="117"/>
      <c r="B69" s="556"/>
      <c r="C69" s="618"/>
      <c r="D69" s="556"/>
      <c r="F69" s="23"/>
    </row>
    <row r="70" spans="1:6" s="19" customFormat="1" ht="15">
      <c r="A70" s="117"/>
      <c r="B70" s="556"/>
      <c r="C70" s="618"/>
      <c r="D70" s="556"/>
      <c r="F70" s="23"/>
    </row>
    <row r="71" spans="1:6" s="19" customFormat="1" ht="15">
      <c r="A71" s="124"/>
      <c r="B71" s="556"/>
      <c r="C71" s="618"/>
      <c r="D71" s="556"/>
      <c r="F71" s="23"/>
    </row>
    <row r="72" spans="1:6" s="19" customFormat="1" ht="15">
      <c r="A72" s="117"/>
      <c r="B72" s="375"/>
      <c r="C72" s="618"/>
      <c r="D72" s="619"/>
      <c r="F72" s="23"/>
    </row>
    <row r="73" spans="1:6" s="19" customFormat="1" ht="15">
      <c r="A73" s="117"/>
      <c r="B73" s="618"/>
      <c r="C73" s="620"/>
      <c r="D73" s="375"/>
      <c r="F73" s="23"/>
    </row>
    <row r="74" spans="1:6" s="19" customFormat="1" ht="15">
      <c r="A74" s="49"/>
      <c r="B74" s="375"/>
      <c r="C74" s="375"/>
      <c r="D74" s="375"/>
      <c r="F74" s="23"/>
    </row>
    <row r="75" spans="1:6" s="19" customFormat="1" ht="15">
      <c r="A75" s="49"/>
      <c r="B75" s="375"/>
      <c r="C75" s="375"/>
      <c r="D75" s="375"/>
      <c r="F75" s="23"/>
    </row>
    <row r="76" spans="1:6" s="19" customFormat="1" ht="15">
      <c r="A76" s="49"/>
      <c r="B76" s="375"/>
      <c r="C76" s="375"/>
      <c r="D76" s="375"/>
      <c r="F76" s="23"/>
    </row>
    <row r="77" spans="1:6" s="19" customFormat="1" ht="15">
      <c r="A77" s="49"/>
      <c r="B77" s="375"/>
      <c r="C77" s="375"/>
      <c r="D77" s="375"/>
      <c r="F77" s="23"/>
    </row>
    <row r="78" spans="1:6" s="19" customFormat="1" ht="15">
      <c r="A78" s="49"/>
      <c r="B78" s="375"/>
      <c r="C78" s="375"/>
      <c r="D78" s="375"/>
      <c r="F78" s="23"/>
    </row>
    <row r="79" spans="1:6" s="19" customFormat="1" ht="15">
      <c r="A79" s="49"/>
      <c r="B79" s="375"/>
      <c r="C79" s="375"/>
      <c r="D79" s="375"/>
      <c r="F79" s="23"/>
    </row>
    <row r="80" spans="1:6" s="19" customFormat="1" ht="15">
      <c r="A80" s="49"/>
      <c r="B80" s="375"/>
      <c r="C80" s="375"/>
      <c r="D80" s="375"/>
      <c r="F80" s="23"/>
    </row>
    <row r="81" spans="1:6" s="19" customFormat="1" ht="15">
      <c r="A81" s="49"/>
      <c r="B81" s="375"/>
      <c r="C81" s="375"/>
      <c r="D81" s="375"/>
      <c r="F81" s="23"/>
    </row>
    <row r="82" spans="1:6" s="19" customFormat="1" ht="15">
      <c r="A82" s="49"/>
      <c r="B82" s="375"/>
      <c r="C82" s="375"/>
      <c r="D82" s="375"/>
      <c r="F82" s="23"/>
    </row>
    <row r="83" spans="1:6" s="19" customFormat="1" ht="15">
      <c r="A83" s="49"/>
      <c r="B83" s="375"/>
      <c r="C83" s="375"/>
      <c r="D83" s="375"/>
      <c r="F83" s="23"/>
    </row>
    <row r="84" spans="1:6" s="19" customFormat="1" ht="15">
      <c r="A84" s="49"/>
      <c r="B84" s="375"/>
      <c r="C84" s="375"/>
      <c r="D84" s="375"/>
      <c r="F84" s="23"/>
    </row>
    <row r="85" spans="1:6" s="19" customFormat="1" ht="15">
      <c r="A85" s="49"/>
      <c r="B85" s="556"/>
      <c r="C85" s="375"/>
      <c r="D85" s="556"/>
      <c r="F85" s="23"/>
    </row>
    <row r="86" spans="1:6" s="19" customFormat="1" ht="15">
      <c r="A86" s="49"/>
      <c r="B86" s="556"/>
      <c r="C86" s="556"/>
      <c r="D86" s="556"/>
      <c r="F86" s="23"/>
    </row>
    <row r="87" spans="1:6" s="19" customFormat="1" ht="15">
      <c r="A87" s="49"/>
      <c r="B87" s="556"/>
      <c r="C87" s="556"/>
      <c r="D87" s="556"/>
      <c r="F87" s="23"/>
    </row>
    <row r="88" spans="1:6" s="19" customFormat="1" ht="15">
      <c r="A88" s="49"/>
      <c r="B88" s="556"/>
      <c r="C88" s="556"/>
      <c r="D88" s="556"/>
      <c r="F88" s="23"/>
    </row>
    <row r="89" spans="1:6" s="19" customFormat="1" ht="15">
      <c r="A89" s="49"/>
      <c r="B89" s="556"/>
      <c r="C89" s="556"/>
      <c r="D89" s="556"/>
      <c r="F89" s="23"/>
    </row>
    <row r="90" spans="1:6" s="19" customFormat="1" ht="15">
      <c r="A90" s="49"/>
      <c r="B90" s="556"/>
      <c r="C90" s="556"/>
      <c r="D90" s="556"/>
      <c r="F90" s="23"/>
    </row>
    <row r="91" spans="1:6" s="19" customFormat="1" ht="15">
      <c r="A91" s="49"/>
      <c r="B91" s="556"/>
      <c r="C91" s="556"/>
      <c r="D91" s="556"/>
      <c r="F91" s="23"/>
    </row>
    <row r="92" spans="1:6" s="19" customFormat="1" ht="15">
      <c r="A92" s="49"/>
      <c r="B92" s="556"/>
      <c r="C92" s="556"/>
      <c r="D92" s="556"/>
      <c r="F92" s="23"/>
    </row>
    <row r="93" spans="1:6" s="19" customFormat="1" ht="15">
      <c r="A93" s="49"/>
      <c r="B93" s="556"/>
      <c r="C93" s="556"/>
      <c r="D93" s="556"/>
      <c r="F93" s="23"/>
    </row>
    <row r="94" spans="1:6" s="19" customFormat="1" ht="15">
      <c r="A94" s="49"/>
      <c r="B94" s="556"/>
      <c r="C94" s="556"/>
      <c r="D94" s="556"/>
      <c r="F94" s="23"/>
    </row>
    <row r="95" spans="1:6" s="19" customFormat="1" ht="15">
      <c r="A95" s="49"/>
      <c r="B95" s="556"/>
      <c r="C95" s="556"/>
      <c r="D95" s="556"/>
      <c r="F95" s="23"/>
    </row>
    <row r="96" spans="1:6" s="19" customFormat="1" ht="15">
      <c r="A96" s="49"/>
      <c r="B96" s="556"/>
      <c r="C96" s="556"/>
      <c r="D96" s="556"/>
      <c r="F96" s="23"/>
    </row>
    <row r="97" spans="1:6" s="19" customFormat="1" ht="15">
      <c r="A97" s="49"/>
      <c r="B97" s="556"/>
      <c r="C97" s="556"/>
      <c r="D97" s="556"/>
      <c r="F97" s="23"/>
    </row>
    <row r="98" spans="1:6" s="19" customFormat="1" ht="15">
      <c r="A98" s="49"/>
      <c r="B98" s="556"/>
      <c r="C98" s="556"/>
      <c r="D98" s="556"/>
      <c r="F98" s="23"/>
    </row>
    <row r="99" spans="1:6" s="19" customFormat="1" ht="15">
      <c r="A99" s="49"/>
      <c r="B99" s="556"/>
      <c r="C99" s="556"/>
      <c r="D99" s="556"/>
      <c r="F99" s="23"/>
    </row>
    <row r="100" spans="1:6" s="19" customFormat="1" ht="15">
      <c r="A100" s="49"/>
      <c r="B100" s="556"/>
      <c r="C100" s="556"/>
      <c r="D100" s="556"/>
      <c r="F100" s="23"/>
    </row>
    <row r="101" spans="1:6" s="19" customFormat="1" ht="15">
      <c r="A101" s="49"/>
      <c r="B101" s="556"/>
      <c r="C101" s="556"/>
      <c r="D101" s="556"/>
      <c r="F101" s="23"/>
    </row>
    <row r="102" spans="1:6" s="19" customFormat="1" ht="15">
      <c r="A102" s="49"/>
      <c r="B102" s="556"/>
      <c r="C102" s="556"/>
      <c r="D102" s="556"/>
      <c r="F102" s="23"/>
    </row>
    <row r="103" spans="1:6" s="19" customFormat="1" ht="15">
      <c r="A103" s="49"/>
      <c r="B103" s="556"/>
      <c r="C103" s="556"/>
      <c r="D103" s="556"/>
      <c r="F103" s="23"/>
    </row>
    <row r="104" spans="1:6" s="19" customFormat="1" ht="15">
      <c r="A104" s="49"/>
      <c r="B104" s="556"/>
      <c r="C104" s="556"/>
      <c r="D104" s="556"/>
      <c r="F104" s="23"/>
    </row>
    <row r="105" spans="1:6" s="19" customFormat="1" ht="15">
      <c r="A105" s="49"/>
      <c r="B105" s="621"/>
      <c r="C105" s="556"/>
      <c r="D105" s="621"/>
      <c r="F105" s="23"/>
    </row>
    <row r="106" spans="1:6" ht="15">
      <c r="A106" s="49"/>
      <c r="F106" s="23"/>
    </row>
    <row r="107" spans="1:6" ht="15">
      <c r="A107" s="49"/>
      <c r="F107" s="23"/>
    </row>
    <row r="108" spans="1:6" ht="15">
      <c r="A108" s="49"/>
      <c r="F108" s="23"/>
    </row>
    <row r="109" ht="15">
      <c r="A109" s="49"/>
    </row>
    <row r="110" ht="15">
      <c r="A110" s="49"/>
    </row>
    <row r="111" ht="15">
      <c r="A111" s="49"/>
    </row>
    <row r="112" ht="15">
      <c r="A112" s="49"/>
    </row>
    <row r="113" ht="15">
      <c r="A113" s="49"/>
    </row>
    <row r="114" ht="12.75">
      <c r="A114" s="51"/>
    </row>
    <row r="115" ht="12.75">
      <c r="A115" s="51"/>
    </row>
    <row r="116" ht="12.75">
      <c r="A116" s="51"/>
    </row>
    <row r="117" ht="12.75">
      <c r="A117" s="51"/>
    </row>
    <row r="118" ht="12.75">
      <c r="A118" s="51"/>
    </row>
    <row r="119" ht="12.75">
      <c r="A119" s="51"/>
    </row>
    <row r="120" ht="12.75">
      <c r="A120" s="51"/>
    </row>
    <row r="121" ht="12.75">
      <c r="A121" s="51"/>
    </row>
    <row r="122" ht="12.75">
      <c r="A122" s="51"/>
    </row>
    <row r="123" ht="12.75">
      <c r="A123" s="51"/>
    </row>
    <row r="124" ht="12.75">
      <c r="A124" s="51"/>
    </row>
    <row r="125" ht="12.75">
      <c r="A125" s="51"/>
    </row>
    <row r="126" ht="12.75">
      <c r="A126" s="51"/>
    </row>
    <row r="127" ht="12.75">
      <c r="A127" s="51"/>
    </row>
    <row r="128" ht="12.75">
      <c r="A128" s="51"/>
    </row>
    <row r="129" ht="12.75">
      <c r="A129" s="51"/>
    </row>
    <row r="130" ht="12.75">
      <c r="A130" s="51"/>
    </row>
    <row r="131" ht="12.75">
      <c r="A131" s="51"/>
    </row>
    <row r="132" ht="12.75">
      <c r="A132" s="51"/>
    </row>
    <row r="133" ht="12.75">
      <c r="A133" s="51"/>
    </row>
    <row r="134" ht="12.75">
      <c r="A134" s="51"/>
    </row>
    <row r="135" ht="12.75">
      <c r="A135" s="51"/>
    </row>
    <row r="136" ht="12.75">
      <c r="A136" s="51"/>
    </row>
    <row r="137" ht="12.75">
      <c r="A137" s="51"/>
    </row>
    <row r="138" ht="12.75">
      <c r="A138" s="51"/>
    </row>
    <row r="139" ht="12.75">
      <c r="A139" s="51"/>
    </row>
    <row r="140" ht="12.75">
      <c r="A140" s="51"/>
    </row>
    <row r="141" ht="12.75">
      <c r="A141" s="51"/>
    </row>
    <row r="142" ht="12.75">
      <c r="A142" s="51"/>
    </row>
    <row r="143" ht="12.75">
      <c r="A143" s="51"/>
    </row>
    <row r="144" ht="12.75">
      <c r="A144" s="51"/>
    </row>
    <row r="145" ht="12.75">
      <c r="A145" s="51"/>
    </row>
    <row r="146" ht="12.75">
      <c r="A146" s="51"/>
    </row>
    <row r="147" ht="12.75">
      <c r="A147" s="51"/>
    </row>
    <row r="148" ht="12.75">
      <c r="A148" s="51"/>
    </row>
    <row r="149" ht="12.75">
      <c r="A149" s="51"/>
    </row>
    <row r="150" ht="12.75">
      <c r="A150" s="51"/>
    </row>
    <row r="151" ht="12.75">
      <c r="A151" s="51"/>
    </row>
    <row r="152" ht="12.75">
      <c r="A152" s="51"/>
    </row>
    <row r="153" ht="12.75">
      <c r="A153" s="51"/>
    </row>
    <row r="154" ht="12.75">
      <c r="A154" s="51"/>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greent</cp:lastModifiedBy>
  <cp:lastPrinted>2004-05-26T18:34:10Z</cp:lastPrinted>
  <dcterms:created xsi:type="dcterms:W3CDTF">1999-07-28T13:02:54Z</dcterms:created>
  <dcterms:modified xsi:type="dcterms:W3CDTF">2004-05-26T18:40:08Z</dcterms:modified>
  <cp:category/>
  <cp:version/>
  <cp:contentType/>
  <cp:contentStatus/>
</cp:coreProperties>
</file>